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по Алдошиной" sheetId="1" r:id="rId1"/>
    <sheet name="по справочнику" sheetId="2" r:id="rId2"/>
  </sheets>
  <definedNames/>
  <calcPr fullCalcOnLoad="1"/>
</workbook>
</file>

<file path=xl/sharedStrings.xml><?xml version="1.0" encoding="utf-8"?>
<sst xmlns="http://schemas.openxmlformats.org/spreadsheetml/2006/main" count="514" uniqueCount="120">
  <si>
    <t>Расчёт фильтров для АС по рекомендациям книги И.А. Алдошиной и А.Г. Войшвилло</t>
  </si>
  <si>
    <t>«Высококачественные акустические системы и излучатели»</t>
  </si>
  <si>
    <t>ФНЧ 1 порядка</t>
  </si>
  <si>
    <t>РАСЧЁТ</t>
  </si>
  <si>
    <t>ПОДБОР</t>
  </si>
  <si>
    <t>Позволяет определить: на какую частоту настроен</t>
  </si>
  <si>
    <t>уже имеющийся фильтр</t>
  </si>
  <si>
    <t>(например при определении параметров неизвестной колонки)</t>
  </si>
  <si>
    <t>требуемая</t>
  </si>
  <si>
    <t>Сопротивление катушки</t>
  </si>
  <si>
    <t>Результат:</t>
  </si>
  <si>
    <t>Индуктивность</t>
  </si>
  <si>
    <t>частота среза,</t>
  </si>
  <si>
    <t>динамика по постоянному току,</t>
  </si>
  <si>
    <t>индуктивность катушки,</t>
  </si>
  <si>
    <t>имеющейся катушки,</t>
  </si>
  <si>
    <t>Гц</t>
  </si>
  <si>
    <t>Ом</t>
  </si>
  <si>
    <t>мГн</t>
  </si>
  <si>
    <t>ФВЧ 1 порядка</t>
  </si>
  <si>
    <t>порядок фильтра</t>
  </si>
  <si>
    <t>Значение нормированных параметров @</t>
  </si>
  <si>
    <t>Ёмкость имеющегося</t>
  </si>
  <si>
    <t>ёмкость конденсатора,</t>
  </si>
  <si>
    <t>конденсатора,</t>
  </si>
  <si>
    <t>мкФ</t>
  </si>
  <si>
    <t>Полосовой 1 порядка</t>
  </si>
  <si>
    <t>Номиналы</t>
  </si>
  <si>
    <t>Результат,</t>
  </si>
  <si>
    <t>fо</t>
  </si>
  <si>
    <t>имеющихся деталей:</t>
  </si>
  <si>
    <t>частота среза:</t>
  </si>
  <si>
    <t>нижняя, Гц</t>
  </si>
  <si>
    <t>С, мкФ</t>
  </si>
  <si>
    <t>Нижняя, Гц</t>
  </si>
  <si>
    <t>L, Гн</t>
  </si>
  <si>
    <t>верхняя, Гц</t>
  </si>
  <si>
    <t>L, мГн</t>
  </si>
  <si>
    <t>Верхняя, Гц</t>
  </si>
  <si>
    <t>х-верхняя частота</t>
  </si>
  <si>
    <t>у-нижняя частота</t>
  </si>
  <si>
    <t>проверка по fо</t>
  </si>
  <si>
    <t>ФНЧ 2 порядка</t>
  </si>
  <si>
    <t>х-у=</t>
  </si>
  <si>
    <t>х*у=</t>
  </si>
  <si>
    <t>Ищем х:</t>
  </si>
  <si>
    <t>Дискрим.=</t>
  </si>
  <si>
    <t>х1=</t>
  </si>
  <si>
    <t>х2=</t>
  </si>
  <si>
    <t>Ищем у:</t>
  </si>
  <si>
    <t>у1=</t>
  </si>
  <si>
    <t>у2=</t>
  </si>
  <si>
    <t>Если среднее арифметическое при расчёте не совпадает с частотой</t>
  </si>
  <si>
    <t>среза, то это значит, что фильтр не согласован с нагрузкой по сопро-</t>
  </si>
  <si>
    <t>тивлению. Изменяя значение сопротивления катушки динамика (для</t>
  </si>
  <si>
    <t>уравнивания среднего арифметического с частотой среза), можно оп-</t>
  </si>
  <si>
    <t xml:space="preserve">ределить, какое сопротивление нагрузки оптимально для данного </t>
  </si>
  <si>
    <t xml:space="preserve">  фильтра.</t>
  </si>
  <si>
    <t>F по НЧ</t>
  </si>
  <si>
    <t>F по ВЧ</t>
  </si>
  <si>
    <t>Среднее арифметическое=</t>
  </si>
  <si>
    <t>ФВЧ 2 порядка</t>
  </si>
  <si>
    <t>Полосовой 2 порядка</t>
  </si>
  <si>
    <t>Результаты в данном подборе будут достоверны только если исход-</t>
  </si>
  <si>
    <t xml:space="preserve">ный фильтр был расчитан способом, рассматриваемым в книге </t>
  </si>
  <si>
    <t>«Высококачественные акустические системы и излучатели». Во всех</t>
  </si>
  <si>
    <t>остальных случаях достоверность результатов не гарантирована.</t>
  </si>
  <si>
    <t>L1, Гн</t>
  </si>
  <si>
    <t>L1</t>
  </si>
  <si>
    <t>C1</t>
  </si>
  <si>
    <t>С2, Ф</t>
  </si>
  <si>
    <t>L1, мГн</t>
  </si>
  <si>
    <t>x1=</t>
  </si>
  <si>
    <t>x2=</t>
  </si>
  <si>
    <t>y1=</t>
  </si>
  <si>
    <t>y2=</t>
  </si>
  <si>
    <t>С1, мкФ</t>
  </si>
  <si>
    <t>L2, мГн</t>
  </si>
  <si>
    <t>C2</t>
  </si>
  <si>
    <t>С2, мкФ</t>
  </si>
  <si>
    <t>L2</t>
  </si>
  <si>
    <t>ФНЧ 3 порядка</t>
  </si>
  <si>
    <t>по L1</t>
  </si>
  <si>
    <t>по L2</t>
  </si>
  <si>
    <t>по С</t>
  </si>
  <si>
    <t>ФВЧ 3 порядка</t>
  </si>
  <si>
    <t>по С1</t>
  </si>
  <si>
    <t>по С2</t>
  </si>
  <si>
    <t>по L</t>
  </si>
  <si>
    <t>Полосовой 3 порядка</t>
  </si>
  <si>
    <t>L3, Гн</t>
  </si>
  <si>
    <t>L3, мГн</t>
  </si>
  <si>
    <t>С3, мкФ</t>
  </si>
  <si>
    <t>Расчёт упрощённой цепи Цобеля:</t>
  </si>
  <si>
    <t>Расчёт аттенюатора:</t>
  </si>
  <si>
    <t xml:space="preserve">Индуктивность </t>
  </si>
  <si>
    <t>Необходимый</t>
  </si>
  <si>
    <t>звуковой</t>
  </si>
  <si>
    <t>уровень осблабления,</t>
  </si>
  <si>
    <t>катушки, мГн</t>
  </si>
  <si>
    <t>R, Ом</t>
  </si>
  <si>
    <t>дб</t>
  </si>
  <si>
    <t>R1, Ом</t>
  </si>
  <si>
    <t>R2, Ом</t>
  </si>
  <si>
    <t xml:space="preserve">Расчёт фильтров типа К по справочнику радиолюбителя </t>
  </si>
  <si>
    <t>(авторы: Р.М. Терещук, Р.М. Домбругов, Н. Д. Босый)</t>
  </si>
  <si>
    <t>ный фильтр был расчитан способом, рассматриваемым в справочнике</t>
  </si>
  <si>
    <t>радиолюбителя. Во всех остальных случаях достоверность результа-</t>
  </si>
  <si>
    <t xml:space="preserve"> тов не гарантирована.</t>
  </si>
  <si>
    <t>f2-f1(1)=</t>
  </si>
  <si>
    <t>f2-f1(b):</t>
  </si>
  <si>
    <t>Дискриминант:</t>
  </si>
  <si>
    <t>f2-f1(2)=</t>
  </si>
  <si>
    <t>f1(1)=</t>
  </si>
  <si>
    <t>f2*f1(1)=</t>
  </si>
  <si>
    <t>f2*f1(c):</t>
  </si>
  <si>
    <t>f1(2)=</t>
  </si>
  <si>
    <t>f2*f1(2)=</t>
  </si>
  <si>
    <t>f2(1)=</t>
  </si>
  <si>
    <t>f2(2)=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</si>
</sst>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#,##0"/>
    <numFmt numFmtId="168" formatCode="0.00000"/>
  </numFmts>
  <fonts count="22">
    <font>
      <sz val="10"/>
      <name val="Arial Cyr"/>
      <family val="2"/>
    </font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u val="single"/>
      <sz val="24"/>
      <color indexed="25"/>
      <name val="Courier New"/>
      <family val="3"/>
    </font>
    <font>
      <b/>
      <u val="single"/>
      <sz val="14"/>
      <color indexed="25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24"/>
      <color indexed="10"/>
      <name val="Courier New"/>
      <family val="3"/>
    </font>
    <font>
      <b/>
      <u val="single"/>
      <sz val="14"/>
      <color indexed="10"/>
      <name val="Arial"/>
      <family val="2"/>
    </font>
    <font>
      <b/>
      <u val="single"/>
      <sz val="24"/>
      <color indexed="12"/>
      <name val="Courier New"/>
      <family val="3"/>
    </font>
    <font>
      <b/>
      <u val="single"/>
      <sz val="14"/>
      <color indexed="12"/>
      <name val="Arial"/>
      <family val="2"/>
    </font>
    <font>
      <b/>
      <u val="single"/>
      <sz val="24"/>
      <name val="Courier New"/>
      <family val="3"/>
    </font>
    <font>
      <b/>
      <u val="single"/>
      <sz val="14"/>
      <name val="Arial"/>
      <family val="2"/>
    </font>
    <font>
      <b/>
      <u val="single"/>
      <sz val="24"/>
      <color indexed="8"/>
      <name val="Courier New"/>
      <family val="3"/>
    </font>
    <font>
      <b/>
      <u val="single"/>
      <sz val="14"/>
      <color indexed="8"/>
      <name val="Arial"/>
      <family val="2"/>
    </font>
    <font>
      <b/>
      <sz val="10"/>
      <color indexed="12"/>
      <name val="Arial Cyr"/>
      <family val="2"/>
    </font>
    <font>
      <b/>
      <sz val="10"/>
      <color indexed="13"/>
      <name val="Arial Cyr"/>
      <family val="2"/>
    </font>
    <font>
      <b/>
      <sz val="18"/>
      <color indexed="30"/>
      <name val="Arial Cyr"/>
      <family val="2"/>
    </font>
    <font>
      <b/>
      <i/>
      <sz val="10"/>
      <color indexed="8"/>
      <name val="Arial"/>
      <family val="2"/>
    </font>
    <font>
      <b/>
      <i/>
      <sz val="10"/>
      <name val="Arial Cyr"/>
      <family val="2"/>
    </font>
    <font>
      <b/>
      <i/>
      <sz val="10"/>
      <color indexed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2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2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2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3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1" fillId="3" borderId="0" xfId="0" applyFont="1" applyFill="1" applyAlignment="1" applyProtection="1">
      <alignment/>
      <protection hidden="1"/>
    </xf>
    <xf numFmtId="164" fontId="1" fillId="3" borderId="0" xfId="0" applyFont="1" applyFill="1" applyBorder="1" applyAlignment="1" applyProtection="1">
      <alignment/>
      <protection hidden="1"/>
    </xf>
    <xf numFmtId="164" fontId="0" fillId="3" borderId="0" xfId="0" applyFont="1" applyFill="1" applyAlignment="1" applyProtection="1">
      <alignment/>
      <protection hidden="1"/>
    </xf>
    <xf numFmtId="164" fontId="0" fillId="3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4" borderId="1" xfId="0" applyFon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/>
    </xf>
    <xf numFmtId="164" fontId="5" fillId="4" borderId="3" xfId="0" applyFont="1" applyFill="1" applyBorder="1" applyAlignment="1">
      <alignment horizontal="center" vertical="center"/>
    </xf>
    <xf numFmtId="164" fontId="1" fillId="4" borderId="4" xfId="0" applyFont="1" applyFill="1" applyBorder="1" applyAlignment="1">
      <alignment/>
    </xf>
    <xf numFmtId="164" fontId="1" fillId="4" borderId="0" xfId="0" applyFont="1" applyFill="1" applyAlignment="1">
      <alignment/>
    </xf>
    <xf numFmtId="164" fontId="1" fillId="4" borderId="5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1" fillId="5" borderId="6" xfId="0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horizontal="center" vertical="center"/>
    </xf>
    <xf numFmtId="165" fontId="1" fillId="6" borderId="8" xfId="0" applyNumberFormat="1" applyFont="1" applyFill="1" applyBorder="1" applyAlignment="1">
      <alignment horizontal="center" vertical="center"/>
    </xf>
    <xf numFmtId="165" fontId="6" fillId="7" borderId="9" xfId="0" applyNumberFormat="1" applyFont="1" applyFill="1" applyBorder="1" applyAlignment="1">
      <alignment horizontal="center" vertical="center"/>
    </xf>
    <xf numFmtId="164" fontId="6" fillId="7" borderId="7" xfId="0" applyFont="1" applyFill="1" applyBorder="1" applyAlignment="1">
      <alignment horizontal="center" vertical="center"/>
    </xf>
    <xf numFmtId="165" fontId="6" fillId="8" borderId="10" xfId="0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/>
    </xf>
    <xf numFmtId="164" fontId="6" fillId="5" borderId="12" xfId="0" applyFont="1" applyFill="1" applyBorder="1" applyAlignment="1">
      <alignment horizontal="center" vertical="center"/>
    </xf>
    <xf numFmtId="164" fontId="1" fillId="6" borderId="13" xfId="0" applyFont="1" applyFill="1" applyBorder="1" applyAlignment="1">
      <alignment horizontal="center" vertical="center"/>
    </xf>
    <xf numFmtId="164" fontId="6" fillId="7" borderId="14" xfId="0" applyFont="1" applyFill="1" applyBorder="1" applyAlignment="1">
      <alignment horizontal="center" vertical="center"/>
    </xf>
    <xf numFmtId="164" fontId="6" fillId="7" borderId="12" xfId="0" applyFont="1" applyFill="1" applyBorder="1" applyAlignment="1">
      <alignment horizontal="center" vertical="center"/>
    </xf>
    <xf numFmtId="164" fontId="6" fillId="8" borderId="15" xfId="0" applyFont="1" applyFill="1" applyBorder="1" applyAlignment="1">
      <alignment horizontal="center" vertical="center"/>
    </xf>
    <xf numFmtId="164" fontId="6" fillId="5" borderId="16" xfId="0" applyFont="1" applyFill="1" applyBorder="1" applyAlignment="1">
      <alignment horizontal="center" vertical="center" wrapText="1"/>
    </xf>
    <xf numFmtId="164" fontId="1" fillId="5" borderId="17" xfId="0" applyFont="1" applyFill="1" applyBorder="1" applyAlignment="1">
      <alignment horizontal="center" vertical="center" wrapText="1"/>
    </xf>
    <xf numFmtId="164" fontId="6" fillId="6" borderId="18" xfId="0" applyFont="1" applyFill="1" applyBorder="1" applyAlignment="1">
      <alignment horizontal="center" vertical="center" wrapText="1"/>
    </xf>
    <xf numFmtId="164" fontId="6" fillId="7" borderId="19" xfId="0" applyFont="1" applyFill="1" applyBorder="1" applyAlignment="1">
      <alignment horizontal="center" vertical="center" wrapText="1"/>
    </xf>
    <xf numFmtId="164" fontId="6" fillId="7" borderId="17" xfId="0" applyFont="1" applyFill="1" applyBorder="1" applyAlignment="1">
      <alignment horizontal="center" vertical="center" wrapText="1"/>
    </xf>
    <xf numFmtId="164" fontId="6" fillId="8" borderId="20" xfId="0" applyFont="1" applyFill="1" applyBorder="1" applyAlignment="1">
      <alignment horizontal="center" vertical="center" wrapText="1"/>
    </xf>
    <xf numFmtId="164" fontId="1" fillId="9" borderId="16" xfId="0" applyFont="1" applyFill="1" applyBorder="1" applyAlignment="1" applyProtection="1">
      <alignment horizontal="center" vertical="center"/>
      <protection locked="0"/>
    </xf>
    <xf numFmtId="164" fontId="1" fillId="9" borderId="17" xfId="0" applyFont="1" applyFill="1" applyBorder="1" applyAlignment="1" applyProtection="1">
      <alignment horizontal="center" vertical="center"/>
      <protection locked="0"/>
    </xf>
    <xf numFmtId="165" fontId="7" fillId="6" borderId="21" xfId="0" applyNumberFormat="1" applyFont="1" applyFill="1" applyBorder="1" applyAlignment="1" applyProtection="1">
      <alignment horizontal="center" vertical="center"/>
      <protection hidden="1"/>
    </xf>
    <xf numFmtId="164" fontId="6" fillId="10" borderId="19" xfId="0" applyFont="1" applyFill="1" applyBorder="1" applyAlignment="1" applyProtection="1">
      <alignment horizontal="center" vertical="center"/>
      <protection locked="0"/>
    </xf>
    <xf numFmtId="164" fontId="6" fillId="10" borderId="17" xfId="0" applyFont="1" applyFill="1" applyBorder="1" applyAlignment="1" applyProtection="1">
      <alignment horizontal="center" vertical="center"/>
      <protection locked="0"/>
    </xf>
    <xf numFmtId="166" fontId="7" fillId="8" borderId="20" xfId="0" applyNumberFormat="1" applyFont="1" applyFill="1" applyBorder="1" applyAlignment="1" applyProtection="1">
      <alignment horizontal="center" vertical="center"/>
      <protection hidden="1"/>
    </xf>
    <xf numFmtId="164" fontId="1" fillId="4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1" fillId="0" borderId="22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1" fillId="0" borderId="23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horizontal="center" vertical="center"/>
    </xf>
    <xf numFmtId="165" fontId="6" fillId="4" borderId="0" xfId="0" applyNumberFormat="1" applyFont="1" applyFill="1" applyBorder="1" applyAlignment="1">
      <alignment/>
    </xf>
    <xf numFmtId="164" fontId="1" fillId="4" borderId="22" xfId="0" applyFont="1" applyFill="1" applyBorder="1" applyAlignment="1">
      <alignment/>
    </xf>
    <xf numFmtId="166" fontId="1" fillId="4" borderId="23" xfId="0" applyNumberFormat="1" applyFont="1" applyFill="1" applyBorder="1" applyAlignment="1">
      <alignment/>
    </xf>
    <xf numFmtId="164" fontId="1" fillId="4" borderId="23" xfId="0" applyFont="1" applyFill="1" applyBorder="1" applyAlignment="1">
      <alignment/>
    </xf>
    <xf numFmtId="164" fontId="1" fillId="3" borderId="0" xfId="0" applyFont="1" applyFill="1" applyBorder="1" applyAlignment="1" applyProtection="1">
      <alignment horizontal="center" wrapText="1"/>
      <protection hidden="1"/>
    </xf>
    <xf numFmtId="164" fontId="1" fillId="3" borderId="0" xfId="0" applyFont="1" applyFill="1" applyBorder="1" applyAlignment="1" applyProtection="1">
      <alignment horizontal="center" vertical="center"/>
      <protection hidden="1"/>
    </xf>
    <xf numFmtId="164" fontId="0" fillId="4" borderId="4" xfId="0" applyFill="1" applyBorder="1" applyAlignment="1">
      <alignment/>
    </xf>
    <xf numFmtId="164" fontId="1" fillId="3" borderId="0" xfId="0" applyFont="1" applyFill="1" applyBorder="1" applyAlignment="1" applyProtection="1">
      <alignment horizontal="center"/>
      <protection hidden="1"/>
    </xf>
    <xf numFmtId="164" fontId="6" fillId="5" borderId="6" xfId="0" applyFont="1" applyFill="1" applyBorder="1" applyAlignment="1">
      <alignment horizontal="center" vertical="center"/>
    </xf>
    <xf numFmtId="164" fontId="6" fillId="5" borderId="7" xfId="0" applyFont="1" applyFill="1" applyBorder="1" applyAlignment="1">
      <alignment horizontal="center" vertical="center"/>
    </xf>
    <xf numFmtId="164" fontId="6" fillId="6" borderId="8" xfId="0" applyFont="1" applyFill="1" applyBorder="1" applyAlignment="1">
      <alignment horizontal="center" vertical="center"/>
    </xf>
    <xf numFmtId="164" fontId="1" fillId="7" borderId="9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/>
    </xf>
    <xf numFmtId="167" fontId="1" fillId="3" borderId="0" xfId="0" applyNumberFormat="1" applyFont="1" applyFill="1" applyBorder="1" applyAlignment="1" applyProtection="1">
      <alignment horizontal="center"/>
      <protection hidden="1"/>
    </xf>
    <xf numFmtId="164" fontId="1" fillId="3" borderId="0" xfId="0" applyNumberFormat="1" applyFont="1" applyFill="1" applyBorder="1" applyAlignment="1" applyProtection="1">
      <alignment horizontal="center"/>
      <protection hidden="1"/>
    </xf>
    <xf numFmtId="164" fontId="6" fillId="5" borderId="11" xfId="0" applyFont="1" applyFill="1" applyBorder="1" applyAlignment="1">
      <alignment horizontal="center" vertical="center"/>
    </xf>
    <xf numFmtId="164" fontId="6" fillId="6" borderId="13" xfId="0" applyFont="1" applyFill="1" applyBorder="1" applyAlignment="1">
      <alignment horizontal="center" vertical="center"/>
    </xf>
    <xf numFmtId="164" fontId="1" fillId="7" borderId="14" xfId="0" applyFont="1" applyFill="1" applyBorder="1" applyAlignment="1">
      <alignment horizontal="center" vertical="center"/>
    </xf>
    <xf numFmtId="164" fontId="1" fillId="7" borderId="12" xfId="0" applyFont="1" applyFill="1" applyBorder="1" applyAlignment="1">
      <alignment horizontal="center" vertical="center"/>
    </xf>
    <xf numFmtId="164" fontId="1" fillId="8" borderId="15" xfId="0" applyFont="1" applyFill="1" applyBorder="1" applyAlignment="1">
      <alignment horizontal="center" vertical="center"/>
    </xf>
    <xf numFmtId="164" fontId="6" fillId="5" borderId="17" xfId="0" applyFont="1" applyFill="1" applyBorder="1" applyAlignment="1">
      <alignment horizontal="center" vertical="center" wrapText="1"/>
    </xf>
    <xf numFmtId="164" fontId="1" fillId="7" borderId="19" xfId="0" applyFont="1" applyFill="1" applyBorder="1" applyAlignment="1">
      <alignment horizontal="center" vertical="center"/>
    </xf>
    <xf numFmtId="164" fontId="1" fillId="7" borderId="17" xfId="0" applyFont="1" applyFill="1" applyBorder="1" applyAlignment="1">
      <alignment horizontal="center" vertical="center" wrapText="1"/>
    </xf>
    <xf numFmtId="164" fontId="6" fillId="9" borderId="16" xfId="0" applyFont="1" applyFill="1" applyBorder="1" applyAlignment="1" applyProtection="1">
      <alignment horizontal="center" vertical="center"/>
      <protection locked="0"/>
    </xf>
    <xf numFmtId="164" fontId="6" fillId="9" borderId="17" xfId="0" applyFont="1" applyFill="1" applyBorder="1" applyAlignment="1" applyProtection="1">
      <alignment horizontal="center" vertical="center"/>
      <protection locked="0"/>
    </xf>
    <xf numFmtId="165" fontId="7" fillId="6" borderId="18" xfId="0" applyNumberFormat="1" applyFont="1" applyFill="1" applyBorder="1" applyAlignment="1" applyProtection="1">
      <alignment horizontal="center" vertical="center"/>
      <protection hidden="1"/>
    </xf>
    <xf numFmtId="164" fontId="1" fillId="10" borderId="19" xfId="0" applyFont="1" applyFill="1" applyBorder="1" applyAlignment="1" applyProtection="1">
      <alignment horizontal="center" vertical="center"/>
      <protection locked="0"/>
    </xf>
    <xf numFmtId="164" fontId="1" fillId="10" borderId="17" xfId="0" applyFont="1" applyFill="1" applyBorder="1" applyAlignment="1" applyProtection="1">
      <alignment horizontal="center" vertical="center"/>
      <protection locked="0"/>
    </xf>
    <xf numFmtId="166" fontId="7" fillId="8" borderId="24" xfId="0" applyNumberFormat="1" applyFont="1" applyFill="1" applyBorder="1" applyAlignment="1" applyProtection="1">
      <alignment horizontal="center" vertical="center"/>
      <protection hidden="1"/>
    </xf>
    <xf numFmtId="168" fontId="1" fillId="3" borderId="0" xfId="0" applyNumberFormat="1" applyFont="1" applyFill="1" applyBorder="1" applyAlignment="1" applyProtection="1">
      <alignment horizontal="center"/>
      <protection hidden="1"/>
    </xf>
    <xf numFmtId="164" fontId="10" fillId="0" borderId="1" xfId="0" applyFont="1" applyBorder="1" applyAlignment="1">
      <alignment horizontal="center" vertical="center"/>
    </xf>
    <xf numFmtId="164" fontId="11" fillId="0" borderId="25" xfId="0" applyFont="1" applyFill="1" applyBorder="1" applyAlignment="1">
      <alignment horizontal="center" vertical="center"/>
    </xf>
    <xf numFmtId="164" fontId="11" fillId="4" borderId="5" xfId="0" applyFont="1" applyFill="1" applyBorder="1" applyAlignment="1">
      <alignment horizontal="center" vertical="center"/>
    </xf>
    <xf numFmtId="164" fontId="1" fillId="6" borderId="8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1" fillId="5" borderId="12" xfId="0" applyFont="1" applyFill="1" applyBorder="1" applyAlignment="1">
      <alignment horizontal="center" vertical="center"/>
    </xf>
    <xf numFmtId="164" fontId="1" fillId="5" borderId="16" xfId="0" applyFont="1" applyFill="1" applyBorder="1" applyAlignment="1">
      <alignment horizontal="center" vertical="center"/>
    </xf>
    <xf numFmtId="164" fontId="1" fillId="8" borderId="20" xfId="0" applyFont="1" applyFill="1" applyBorder="1" applyAlignment="1">
      <alignment horizontal="center" vertical="center" wrapText="1"/>
    </xf>
    <xf numFmtId="164" fontId="1" fillId="9" borderId="11" xfId="0" applyFont="1" applyFill="1" applyBorder="1" applyAlignment="1" applyProtection="1">
      <alignment horizontal="center" vertical="center"/>
      <protection locked="0"/>
    </xf>
    <xf numFmtId="164" fontId="1" fillId="9" borderId="12" xfId="0" applyFont="1" applyFill="1" applyBorder="1" applyAlignment="1" applyProtection="1">
      <alignment horizontal="center" vertical="center"/>
      <protection locked="0"/>
    </xf>
    <xf numFmtId="164" fontId="1" fillId="10" borderId="26" xfId="0" applyFont="1" applyFill="1" applyBorder="1" applyAlignment="1" applyProtection="1">
      <alignment horizontal="center" vertical="center"/>
      <protection locked="0"/>
    </xf>
    <xf numFmtId="164" fontId="1" fillId="10" borderId="27" xfId="0" applyFont="1" applyFill="1" applyBorder="1" applyAlignment="1" applyProtection="1">
      <alignment horizontal="center" vertical="center"/>
      <protection locked="0"/>
    </xf>
    <xf numFmtId="164" fontId="1" fillId="5" borderId="28" xfId="0" applyFont="1" applyFill="1" applyBorder="1" applyAlignment="1">
      <alignment horizontal="center" vertical="center"/>
    </xf>
    <xf numFmtId="164" fontId="1" fillId="5" borderId="27" xfId="0" applyFont="1" applyFill="1" applyBorder="1" applyAlignment="1">
      <alignment horizontal="center" vertical="center"/>
    </xf>
    <xf numFmtId="164" fontId="1" fillId="6" borderId="21" xfId="0" applyFont="1" applyFill="1" applyBorder="1" applyAlignment="1">
      <alignment horizontal="center" vertical="center"/>
    </xf>
    <xf numFmtId="164" fontId="1" fillId="7" borderId="26" xfId="0" applyFont="1" applyFill="1" applyBorder="1" applyAlignment="1">
      <alignment horizontal="center" vertical="center"/>
    </xf>
    <xf numFmtId="164" fontId="1" fillId="7" borderId="27" xfId="0" applyFont="1" applyFill="1" applyBorder="1" applyAlignment="1">
      <alignment horizontal="center" vertical="center"/>
    </xf>
    <xf numFmtId="164" fontId="1" fillId="8" borderId="24" xfId="0" applyFont="1" applyFill="1" applyBorder="1" applyAlignment="1">
      <alignment horizontal="center" vertical="center"/>
    </xf>
    <xf numFmtId="164" fontId="1" fillId="4" borderId="29" xfId="0" applyFont="1" applyFill="1" applyBorder="1" applyAlignment="1">
      <alignment/>
    </xf>
    <xf numFmtId="164" fontId="1" fillId="4" borderId="30" xfId="0" applyFont="1" applyFill="1" applyBorder="1" applyAlignment="1">
      <alignment/>
    </xf>
    <xf numFmtId="164" fontId="1" fillId="4" borderId="31" xfId="0" applyFont="1" applyFill="1" applyBorder="1" applyAlignment="1">
      <alignment/>
    </xf>
    <xf numFmtId="164" fontId="12" fillId="11" borderId="1" xfId="0" applyFont="1" applyFill="1" applyBorder="1" applyAlignment="1">
      <alignment horizontal="center" vertical="center"/>
    </xf>
    <xf numFmtId="164" fontId="1" fillId="3" borderId="0" xfId="0" applyFont="1" applyFill="1" applyBorder="1" applyAlignment="1" applyProtection="1">
      <alignment horizontal="right"/>
      <protection hidden="1"/>
    </xf>
    <xf numFmtId="164" fontId="13" fillId="11" borderId="0" xfId="0" applyFont="1" applyFill="1" applyAlignment="1">
      <alignment horizontal="center" vertical="center"/>
    </xf>
    <xf numFmtId="164" fontId="13" fillId="11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1" fillId="5" borderId="16" xfId="0" applyFont="1" applyFill="1" applyBorder="1" applyAlignment="1">
      <alignment horizontal="center" vertical="center" wrapText="1"/>
    </xf>
    <xf numFmtId="164" fontId="1" fillId="6" borderId="18" xfId="0" applyFont="1" applyFill="1" applyBorder="1" applyAlignment="1">
      <alignment horizontal="center" vertical="center"/>
    </xf>
    <xf numFmtId="164" fontId="1" fillId="7" borderId="17" xfId="0" applyFont="1" applyFill="1" applyBorder="1" applyAlignment="1">
      <alignment horizontal="center" vertical="center"/>
    </xf>
    <xf numFmtId="164" fontId="1" fillId="9" borderId="28" xfId="0" applyFont="1" applyFill="1" applyBorder="1" applyAlignment="1" applyProtection="1">
      <alignment horizontal="center" vertical="center"/>
      <protection locked="0"/>
    </xf>
    <xf numFmtId="164" fontId="1" fillId="9" borderId="27" xfId="0" applyFont="1" applyFill="1" applyBorder="1" applyAlignment="1" applyProtection="1">
      <alignment horizontal="center" vertical="center"/>
      <protection locked="0"/>
    </xf>
    <xf numFmtId="166" fontId="1" fillId="3" borderId="0" xfId="0" applyNumberFormat="1" applyFont="1" applyFill="1" applyAlignment="1" applyProtection="1">
      <alignment/>
      <protection hidden="1"/>
    </xf>
    <xf numFmtId="164" fontId="1" fillId="8" borderId="27" xfId="0" applyFont="1" applyFill="1" applyBorder="1" applyAlignment="1">
      <alignment horizontal="right" vertical="center"/>
    </xf>
    <xf numFmtId="164" fontId="12" fillId="12" borderId="1" xfId="0" applyFont="1" applyFill="1" applyBorder="1" applyAlignment="1">
      <alignment horizontal="center" vertical="center"/>
    </xf>
    <xf numFmtId="164" fontId="13" fillId="12" borderId="0" xfId="0" applyFont="1" applyFill="1" applyAlignment="1">
      <alignment horizontal="center" vertical="center"/>
    </xf>
    <xf numFmtId="164" fontId="13" fillId="12" borderId="5" xfId="0" applyFont="1" applyFill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4" fillId="13" borderId="1" xfId="0" applyFont="1" applyFill="1" applyBorder="1" applyAlignment="1">
      <alignment horizontal="center" vertical="center"/>
    </xf>
    <xf numFmtId="164" fontId="15" fillId="13" borderId="0" xfId="0" applyFont="1" applyFill="1" applyAlignment="1">
      <alignment horizontal="center" vertical="center"/>
    </xf>
    <xf numFmtId="164" fontId="15" fillId="13" borderId="5" xfId="0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/>
    </xf>
    <xf numFmtId="164" fontId="1" fillId="3" borderId="0" xfId="0" applyFont="1" applyFill="1" applyAlignment="1" applyProtection="1">
      <alignment horizontal="right"/>
      <protection hidden="1"/>
    </xf>
    <xf numFmtId="164" fontId="1" fillId="9" borderId="32" xfId="0" applyFont="1" applyFill="1" applyBorder="1" applyAlignment="1" applyProtection="1">
      <alignment horizontal="center" vertical="center"/>
      <protection locked="0"/>
    </xf>
    <xf numFmtId="164" fontId="1" fillId="5" borderId="32" xfId="0" applyFont="1" applyFill="1" applyBorder="1" applyAlignment="1">
      <alignment horizontal="center" vertical="center"/>
    </xf>
    <xf numFmtId="164" fontId="1" fillId="7" borderId="24" xfId="0" applyFont="1" applyFill="1" applyBorder="1" applyAlignment="1">
      <alignment horizontal="center" vertical="center"/>
    </xf>
    <xf numFmtId="165" fontId="16" fillId="6" borderId="21" xfId="0" applyNumberFormat="1" applyFont="1" applyFill="1" applyBorder="1" applyAlignment="1" applyProtection="1">
      <alignment horizontal="center" vertical="center"/>
      <protection hidden="1"/>
    </xf>
    <xf numFmtId="164" fontId="4" fillId="14" borderId="1" xfId="0" applyFont="1" applyFill="1" applyBorder="1" applyAlignment="1">
      <alignment horizontal="center" vertical="center"/>
    </xf>
    <xf numFmtId="164" fontId="5" fillId="14" borderId="4" xfId="0" applyFont="1" applyFill="1" applyBorder="1" applyAlignment="1">
      <alignment horizontal="center" vertical="center"/>
    </xf>
    <xf numFmtId="164" fontId="5" fillId="14" borderId="5" xfId="0" applyFont="1" applyFill="1" applyBorder="1" applyAlignment="1">
      <alignment horizontal="center" vertical="center"/>
    </xf>
    <xf numFmtId="164" fontId="8" fillId="14" borderId="1" xfId="0" applyFont="1" applyFill="1" applyBorder="1" applyAlignment="1">
      <alignment horizontal="center" vertical="center"/>
    </xf>
    <xf numFmtId="164" fontId="9" fillId="14" borderId="4" xfId="0" applyFont="1" applyFill="1" applyBorder="1" applyAlignment="1">
      <alignment horizontal="center" vertical="center"/>
    </xf>
    <xf numFmtId="164" fontId="9" fillId="14" borderId="5" xfId="0" applyFont="1" applyFill="1" applyBorder="1" applyAlignment="1">
      <alignment horizontal="center" vertical="center"/>
    </xf>
    <xf numFmtId="164" fontId="0" fillId="5" borderId="27" xfId="0" applyFont="1" applyFill="1" applyBorder="1" applyAlignment="1">
      <alignment horizontal="center" vertical="center"/>
    </xf>
    <xf numFmtId="164" fontId="0" fillId="6" borderId="21" xfId="0" applyFont="1" applyFill="1" applyBorder="1" applyAlignment="1">
      <alignment horizontal="center" vertical="center"/>
    </xf>
    <xf numFmtId="164" fontId="0" fillId="7" borderId="27" xfId="0" applyFont="1" applyFill="1" applyBorder="1" applyAlignment="1">
      <alignment horizontal="center" vertical="center"/>
    </xf>
    <xf numFmtId="164" fontId="0" fillId="7" borderId="24" xfId="0" applyFont="1" applyFill="1" applyBorder="1" applyAlignment="1">
      <alignment horizontal="center" vertical="center"/>
    </xf>
    <xf numFmtId="164" fontId="0" fillId="5" borderId="28" xfId="0" applyFont="1" applyFill="1" applyBorder="1" applyAlignment="1">
      <alignment horizontal="center" vertical="center"/>
    </xf>
    <xf numFmtId="164" fontId="0" fillId="4" borderId="33" xfId="0" applyFont="1" applyFill="1" applyBorder="1" applyAlignment="1">
      <alignment horizontal="center" vertical="center"/>
    </xf>
    <xf numFmtId="164" fontId="10" fillId="14" borderId="1" xfId="0" applyFont="1" applyFill="1" applyBorder="1" applyAlignment="1">
      <alignment horizontal="center" vertical="center"/>
    </xf>
    <xf numFmtId="164" fontId="0" fillId="4" borderId="4" xfId="0" applyFont="1" applyFill="1" applyBorder="1" applyAlignment="1">
      <alignment/>
    </xf>
    <xf numFmtId="164" fontId="0" fillId="4" borderId="0" xfId="0" applyFont="1" applyFill="1" applyAlignment="1">
      <alignment/>
    </xf>
    <xf numFmtId="164" fontId="0" fillId="4" borderId="0" xfId="0" applyFont="1" applyFill="1" applyBorder="1" applyAlignment="1">
      <alignment/>
    </xf>
    <xf numFmtId="164" fontId="0" fillId="4" borderId="23" xfId="0" applyFont="1" applyFill="1" applyBorder="1" applyAlignment="1">
      <alignment/>
    </xf>
    <xf numFmtId="164" fontId="0" fillId="8" borderId="34" xfId="0" applyFont="1" applyFill="1" applyBorder="1" applyAlignment="1">
      <alignment horizontal="center" vertical="center"/>
    </xf>
    <xf numFmtId="164" fontId="0" fillId="8" borderId="31" xfId="0" applyFont="1" applyFill="1" applyBorder="1" applyAlignment="1">
      <alignment horizontal="center" vertical="center"/>
    </xf>
    <xf numFmtId="164" fontId="0" fillId="8" borderId="35" xfId="0" applyFont="1" applyFill="1" applyBorder="1" applyAlignment="1">
      <alignment horizontal="center" vertical="center"/>
    </xf>
    <xf numFmtId="164" fontId="0" fillId="8" borderId="27" xfId="0" applyFont="1" applyFill="1" applyBorder="1" applyAlignment="1">
      <alignment horizontal="center" vertical="center"/>
    </xf>
    <xf numFmtId="164" fontId="0" fillId="8" borderId="36" xfId="0" applyFont="1" applyFill="1" applyBorder="1" applyAlignment="1">
      <alignment horizontal="center" vertical="center"/>
    </xf>
    <xf numFmtId="165" fontId="17" fillId="8" borderId="27" xfId="0" applyNumberFormat="1" applyFont="1" applyFill="1" applyBorder="1" applyAlignment="1" applyProtection="1">
      <alignment horizontal="center" vertical="center"/>
      <protection hidden="1"/>
    </xf>
    <xf numFmtId="165" fontId="17" fillId="8" borderId="34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5" fontId="17" fillId="8" borderId="37" xfId="0" applyNumberFormat="1" applyFont="1" applyFill="1" applyBorder="1" applyAlignment="1" applyProtection="1">
      <alignment horizontal="center" vertical="center"/>
      <protection hidden="1"/>
    </xf>
    <xf numFmtId="164" fontId="18" fillId="15" borderId="1" xfId="0" applyFont="1" applyFill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0" fillId="0" borderId="0" xfId="0" applyFont="1" applyAlignment="1">
      <alignment/>
    </xf>
    <xf numFmtId="164" fontId="0" fillId="0" borderId="23" xfId="0" applyFont="1" applyBorder="1" applyAlignment="1">
      <alignment/>
    </xf>
    <xf numFmtId="164" fontId="0" fillId="0" borderId="4" xfId="0" applyBorder="1" applyAlignment="1">
      <alignment/>
    </xf>
    <xf numFmtId="164" fontId="0" fillId="16" borderId="2" xfId="0" applyFont="1" applyFill="1" applyBorder="1" applyAlignment="1">
      <alignment horizontal="center"/>
    </xf>
    <xf numFmtId="164" fontId="1" fillId="16" borderId="38" xfId="0" applyFont="1" applyFill="1" applyBorder="1" applyAlignment="1">
      <alignment horizontal="center"/>
    </xf>
    <xf numFmtId="164" fontId="0" fillId="17" borderId="39" xfId="0" applyFont="1" applyFill="1" applyBorder="1" applyAlignment="1">
      <alignment horizontal="center"/>
    </xf>
    <xf numFmtId="164" fontId="1" fillId="16" borderId="40" xfId="0" applyFont="1" applyFill="1" applyBorder="1" applyAlignment="1">
      <alignment horizontal="center"/>
    </xf>
    <xf numFmtId="164" fontId="0" fillId="17" borderId="40" xfId="0" applyFont="1" applyFill="1" applyBorder="1" applyAlignment="1">
      <alignment horizontal="center"/>
    </xf>
    <xf numFmtId="164" fontId="0" fillId="16" borderId="4" xfId="0" applyFont="1" applyFill="1" applyBorder="1" applyAlignment="1">
      <alignment horizontal="center"/>
    </xf>
    <xf numFmtId="164" fontId="1" fillId="16" borderId="41" xfId="0" applyFont="1" applyFill="1" applyBorder="1" applyAlignment="1">
      <alignment horizontal="center"/>
    </xf>
    <xf numFmtId="164" fontId="0" fillId="17" borderId="33" xfId="0" applyFont="1" applyFill="1" applyBorder="1" applyAlignment="1">
      <alignment horizontal="center"/>
    </xf>
    <xf numFmtId="164" fontId="1" fillId="16" borderId="23" xfId="0" applyFont="1" applyFill="1" applyBorder="1" applyAlignment="1">
      <alignment horizontal="center"/>
    </xf>
    <xf numFmtId="164" fontId="0" fillId="17" borderId="23" xfId="0" applyFont="1" applyFill="1" applyBorder="1" applyAlignment="1">
      <alignment horizontal="center"/>
    </xf>
    <xf numFmtId="164" fontId="1" fillId="16" borderId="41" xfId="0" applyFont="1" applyFill="1" applyBorder="1" applyAlignment="1">
      <alignment horizontal="center" wrapText="1"/>
    </xf>
    <xf numFmtId="164" fontId="1" fillId="16" borderId="23" xfId="0" applyFont="1" applyFill="1" applyBorder="1" applyAlignment="1">
      <alignment horizontal="center" wrapText="1"/>
    </xf>
    <xf numFmtId="164" fontId="0" fillId="0" borderId="4" xfId="0" applyFont="1" applyBorder="1" applyAlignment="1" applyProtection="1">
      <alignment horizontal="center"/>
      <protection locked="0"/>
    </xf>
    <xf numFmtId="164" fontId="0" fillId="0" borderId="41" xfId="0" applyFont="1" applyBorder="1" applyAlignment="1" applyProtection="1">
      <alignment horizontal="center"/>
      <protection locked="0"/>
    </xf>
    <xf numFmtId="164" fontId="19" fillId="17" borderId="42" xfId="0" applyFont="1" applyFill="1" applyBorder="1" applyAlignment="1" applyProtection="1">
      <alignment horizontal="center"/>
      <protection hidden="1"/>
    </xf>
    <xf numFmtId="164" fontId="0" fillId="0" borderId="4" xfId="0" applyFont="1" applyFill="1" applyBorder="1" applyAlignment="1" applyProtection="1">
      <alignment horizontal="center"/>
      <protection locked="0"/>
    </xf>
    <xf numFmtId="164" fontId="0" fillId="0" borderId="41" xfId="0" applyFont="1" applyFill="1" applyBorder="1" applyAlignment="1" applyProtection="1">
      <alignment horizontal="center"/>
      <protection locked="0"/>
    </xf>
    <xf numFmtId="165" fontId="20" fillId="17" borderId="43" xfId="0" applyNumberFormat="1" applyFont="1" applyFill="1" applyBorder="1" applyAlignment="1" applyProtection="1">
      <alignment horizontal="center"/>
      <protection hidden="1"/>
    </xf>
    <xf numFmtId="164" fontId="0" fillId="16" borderId="4" xfId="0" applyFont="1" applyFill="1" applyBorder="1" applyAlignment="1">
      <alignment/>
    </xf>
    <xf numFmtId="164" fontId="0" fillId="16" borderId="41" xfId="0" applyFont="1" applyFill="1" applyBorder="1" applyAlignment="1">
      <alignment/>
    </xf>
    <xf numFmtId="164" fontId="0" fillId="16" borderId="23" xfId="0" applyFont="1" applyFill="1" applyBorder="1" applyAlignment="1">
      <alignment horizontal="center"/>
    </xf>
    <xf numFmtId="164" fontId="0" fillId="17" borderId="43" xfId="0" applyFont="1" applyFill="1" applyBorder="1" applyAlignment="1">
      <alignment horizontal="center"/>
    </xf>
    <xf numFmtId="164" fontId="0" fillId="16" borderId="44" xfId="0" applyFont="1" applyFill="1" applyBorder="1" applyAlignment="1">
      <alignment/>
    </xf>
    <xf numFmtId="164" fontId="0" fillId="16" borderId="45" xfId="0" applyFont="1" applyFill="1" applyBorder="1" applyAlignment="1">
      <alignment/>
    </xf>
    <xf numFmtId="165" fontId="21" fillId="17" borderId="46" xfId="0" applyNumberFormat="1" applyFont="1" applyFill="1" applyBorder="1" applyAlignment="1" applyProtection="1">
      <alignment horizontal="center"/>
      <protection hidden="1"/>
    </xf>
    <xf numFmtId="164" fontId="0" fillId="16" borderId="44" xfId="0" applyFont="1" applyFill="1" applyBorder="1" applyAlignment="1">
      <alignment horizontal="center"/>
    </xf>
    <xf numFmtId="164" fontId="0" fillId="16" borderId="47" xfId="0" applyFont="1" applyFill="1" applyBorder="1" applyAlignment="1">
      <alignment horizontal="center"/>
    </xf>
    <xf numFmtId="165" fontId="20" fillId="17" borderId="47" xfId="0" applyNumberFormat="1" applyFont="1" applyFill="1" applyBorder="1" applyAlignment="1" applyProtection="1">
      <alignment horizontal="center"/>
      <protection hidden="1"/>
    </xf>
    <xf numFmtId="164" fontId="0" fillId="3" borderId="0" xfId="0" applyFill="1" applyAlignment="1">
      <alignment/>
    </xf>
    <xf numFmtId="164" fontId="1" fillId="9" borderId="0" xfId="0" applyFont="1" applyFill="1" applyAlignment="1" applyProtection="1">
      <alignment/>
      <protection hidden="1"/>
    </xf>
    <xf numFmtId="164" fontId="1" fillId="9" borderId="0" xfId="0" applyFont="1" applyFill="1" applyBorder="1" applyAlignment="1" applyProtection="1">
      <alignment/>
      <protection hidden="1"/>
    </xf>
    <xf numFmtId="164" fontId="0" fillId="9" borderId="0" xfId="0" applyFont="1" applyFill="1" applyAlignment="1" applyProtection="1">
      <alignment/>
      <protection hidden="1"/>
    </xf>
    <xf numFmtId="164" fontId="1" fillId="9" borderId="0" xfId="0" applyFont="1" applyFill="1" applyBorder="1" applyAlignment="1" applyProtection="1">
      <alignment horizontal="right"/>
      <protection hidden="1"/>
    </xf>
    <xf numFmtId="166" fontId="1" fillId="9" borderId="0" xfId="0" applyNumberFormat="1" applyFont="1" applyFill="1" applyAlignment="1" applyProtection="1">
      <alignment/>
      <protection hidden="1"/>
    </xf>
    <xf numFmtId="164" fontId="1" fillId="8" borderId="24" xfId="0" applyFont="1" applyFill="1" applyBorder="1" applyAlignment="1" applyProtection="1">
      <alignment horizontal="center" vertical="center"/>
      <protection hidden="1"/>
    </xf>
    <xf numFmtId="164" fontId="1" fillId="9" borderId="0" xfId="0" applyFont="1" applyFill="1" applyAlignment="1" applyProtection="1">
      <alignment horizontal="right"/>
      <protection hidden="1"/>
    </xf>
    <xf numFmtId="164" fontId="1" fillId="9" borderId="0" xfId="0" applyFont="1" applyFill="1" applyBorder="1" applyAlignment="1" applyProtection="1">
      <alignment horizontal="center"/>
      <protection hidden="1"/>
    </xf>
    <xf numFmtId="164" fontId="1" fillId="9" borderId="0" xfId="0" applyFont="1" applyFill="1" applyAlignment="1" applyProtection="1">
      <alignment horizontal="center"/>
      <protection hidden="1"/>
    </xf>
    <xf numFmtId="164" fontId="1" fillId="10" borderId="26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1" fillId="9" borderId="48" xfId="0" applyFont="1" applyFill="1" applyBorder="1" applyAlignment="1" applyProtection="1">
      <alignment horizontal="center" vertical="center"/>
      <protection locked="0"/>
    </xf>
    <xf numFmtId="164" fontId="1" fillId="5" borderId="49" xfId="0" applyFont="1" applyFill="1" applyBorder="1" applyAlignment="1">
      <alignment horizontal="center" vertical="center"/>
    </xf>
    <xf numFmtId="165" fontId="17" fillId="8" borderId="49" xfId="0" applyNumberFormat="1" applyFont="1" applyFill="1" applyBorder="1" applyAlignment="1" applyProtection="1">
      <alignment horizontal="center" vertical="center"/>
      <protection hidden="1"/>
    </xf>
    <xf numFmtId="165" fontId="17" fillId="8" borderId="50" xfId="0" applyNumberFormat="1" applyFont="1" applyFill="1" applyBorder="1" applyAlignment="1" applyProtection="1">
      <alignment horizontal="center" vertical="center"/>
      <protection hidden="1"/>
    </xf>
    <xf numFmtId="164" fontId="0" fillId="8" borderId="47" xfId="0" applyFont="1" applyFill="1" applyBorder="1" applyAlignment="1">
      <alignment horizontal="center" vertical="center"/>
    </xf>
    <xf numFmtId="164" fontId="0" fillId="9" borderId="0" xfId="0" applyFont="1" applyFill="1" applyBorder="1" applyAlignment="1">
      <alignment/>
    </xf>
    <xf numFmtId="164" fontId="0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9" borderId="0" xfId="0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CCCCC"/>
      <rgbColor rgb="00808080"/>
      <rgbColor rgb="009999FF"/>
      <rgbColor rgb="00993366"/>
      <rgbColor rgb="00E6E6E6"/>
      <rgbColor rgb="00CCFFFF"/>
      <rgbColor rgb="00660066"/>
      <rgbColor rgb="00FF9966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7DA647"/>
      <rgbColor rgb="00003366"/>
      <rgbColor rgb="0033CC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5</xdr:row>
      <xdr:rowOff>66675</xdr:rowOff>
    </xdr:from>
    <xdr:to>
      <xdr:col>2</xdr:col>
      <xdr:colOff>66675</xdr:colOff>
      <xdr:row>14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200150"/>
          <a:ext cx="18478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22</xdr:row>
      <xdr:rowOff>19050</xdr:rowOff>
    </xdr:from>
    <xdr:to>
      <xdr:col>2</xdr:col>
      <xdr:colOff>38100</xdr:colOff>
      <xdr:row>31</xdr:row>
      <xdr:rowOff>104775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4429125"/>
          <a:ext cx="18478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40</xdr:row>
      <xdr:rowOff>9525</xdr:rowOff>
    </xdr:from>
    <xdr:to>
      <xdr:col>2</xdr:col>
      <xdr:colOff>95250</xdr:colOff>
      <xdr:row>48</xdr:row>
      <xdr:rowOff>161925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7924800"/>
          <a:ext cx="18288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59</xdr:row>
      <xdr:rowOff>57150</xdr:rowOff>
    </xdr:from>
    <xdr:to>
      <xdr:col>2</xdr:col>
      <xdr:colOff>47625</xdr:colOff>
      <xdr:row>68</xdr:row>
      <xdr:rowOff>85725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11744325"/>
          <a:ext cx="18478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78</xdr:row>
      <xdr:rowOff>95250</xdr:rowOff>
    </xdr:from>
    <xdr:to>
      <xdr:col>2</xdr:col>
      <xdr:colOff>9525</xdr:colOff>
      <xdr:row>87</xdr:row>
      <xdr:rowOff>76200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15554325"/>
          <a:ext cx="18478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97</xdr:row>
      <xdr:rowOff>161925</xdr:rowOff>
    </xdr:from>
    <xdr:to>
      <xdr:col>2</xdr:col>
      <xdr:colOff>857250</xdr:colOff>
      <xdr:row>106</xdr:row>
      <xdr:rowOff>133350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9392900"/>
          <a:ext cx="35814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122</xdr:row>
      <xdr:rowOff>28575</xdr:rowOff>
    </xdr:from>
    <xdr:to>
      <xdr:col>2</xdr:col>
      <xdr:colOff>504825</xdr:colOff>
      <xdr:row>131</xdr:row>
      <xdr:rowOff>0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24345900"/>
          <a:ext cx="27241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144</xdr:row>
      <xdr:rowOff>57150</xdr:rowOff>
    </xdr:from>
    <xdr:to>
      <xdr:col>2</xdr:col>
      <xdr:colOff>495300</xdr:colOff>
      <xdr:row>153</xdr:row>
      <xdr:rowOff>28575</xdr:rowOff>
    </xdr:to>
    <xdr:pic>
      <xdr:nvPicPr>
        <xdr:cNvPr id="8" name="Изображения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28803600"/>
          <a:ext cx="27241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2066925</xdr:colOff>
      <xdr:row>165</xdr:row>
      <xdr:rowOff>133350</xdr:rowOff>
    </xdr:from>
    <xdr:to>
      <xdr:col>4</xdr:col>
      <xdr:colOff>400050</xdr:colOff>
      <xdr:row>174</xdr:row>
      <xdr:rowOff>104775</xdr:rowOff>
    </xdr:to>
    <xdr:pic>
      <xdr:nvPicPr>
        <xdr:cNvPr id="9" name="Изображения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28975" y="33089850"/>
          <a:ext cx="38481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188</xdr:row>
      <xdr:rowOff>161925</xdr:rowOff>
    </xdr:from>
    <xdr:to>
      <xdr:col>1</xdr:col>
      <xdr:colOff>2085975</xdr:colOff>
      <xdr:row>192</xdr:row>
      <xdr:rowOff>19050</xdr:rowOff>
    </xdr:to>
    <xdr:pic>
      <xdr:nvPicPr>
        <xdr:cNvPr id="10" name="Изображения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9675" y="37395150"/>
          <a:ext cx="2038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190500</xdr:colOff>
      <xdr:row>187</xdr:row>
      <xdr:rowOff>95250</xdr:rowOff>
    </xdr:from>
    <xdr:to>
      <xdr:col>4</xdr:col>
      <xdr:colOff>1790700</xdr:colOff>
      <xdr:row>194</xdr:row>
      <xdr:rowOff>152400</xdr:rowOff>
    </xdr:to>
    <xdr:pic>
      <xdr:nvPicPr>
        <xdr:cNvPr id="11" name="Изображения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67525" y="37166550"/>
          <a:ext cx="16002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</xdr:row>
      <xdr:rowOff>76200</xdr:rowOff>
    </xdr:from>
    <xdr:to>
      <xdr:col>2</xdr:col>
      <xdr:colOff>38100</xdr:colOff>
      <xdr:row>14</xdr:row>
      <xdr:rowOff>104775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09675"/>
          <a:ext cx="17430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24</xdr:row>
      <xdr:rowOff>38100</xdr:rowOff>
    </xdr:from>
    <xdr:to>
      <xdr:col>2</xdr:col>
      <xdr:colOff>66675</xdr:colOff>
      <xdr:row>33</xdr:row>
      <xdr:rowOff>19050</xdr:rowOff>
    </xdr:to>
    <xdr:pic>
      <xdr:nvPicPr>
        <xdr:cNvPr id="2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4943475"/>
          <a:ext cx="1743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43</xdr:row>
      <xdr:rowOff>114300</xdr:rowOff>
    </xdr:from>
    <xdr:to>
      <xdr:col>2</xdr:col>
      <xdr:colOff>857250</xdr:colOff>
      <xdr:row>52</xdr:row>
      <xdr:rowOff>85725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8791575"/>
          <a:ext cx="34766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67</xdr:row>
      <xdr:rowOff>219075</xdr:rowOff>
    </xdr:from>
    <xdr:to>
      <xdr:col>2</xdr:col>
      <xdr:colOff>504825</xdr:colOff>
      <xdr:row>76</xdr:row>
      <xdr:rowOff>133350</xdr:rowOff>
    </xdr:to>
    <xdr:pic>
      <xdr:nvPicPr>
        <xdr:cNvPr id="4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13763625"/>
          <a:ext cx="26193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90</xdr:row>
      <xdr:rowOff>19050</xdr:rowOff>
    </xdr:from>
    <xdr:to>
      <xdr:col>2</xdr:col>
      <xdr:colOff>495300</xdr:colOff>
      <xdr:row>98</xdr:row>
      <xdr:rowOff>161925</xdr:rowOff>
    </xdr:to>
    <xdr:pic>
      <xdr:nvPicPr>
        <xdr:cNvPr id="5" name="Изображения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18211800"/>
          <a:ext cx="26193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2057400</xdr:colOff>
      <xdr:row>111</xdr:row>
      <xdr:rowOff>95250</xdr:rowOff>
    </xdr:from>
    <xdr:to>
      <xdr:col>4</xdr:col>
      <xdr:colOff>390525</xdr:colOff>
      <xdr:row>120</xdr:row>
      <xdr:rowOff>66675</xdr:rowOff>
    </xdr:to>
    <xdr:pic>
      <xdr:nvPicPr>
        <xdr:cNvPr id="6" name="Изображения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22498050"/>
          <a:ext cx="36480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0"/>
  <sheetViews>
    <sheetView tabSelected="1" zoomScale="82" zoomScaleNormal="82" workbookViewId="0" topLeftCell="A1">
      <selection activeCell="D193" sqref="D193"/>
    </sheetView>
  </sheetViews>
  <sheetFormatPr defaultColWidth="9.00390625" defaultRowHeight="12.75"/>
  <cols>
    <col min="1" max="1" width="15.25390625" style="0" customWidth="1"/>
    <col min="2" max="2" width="29.375" style="0" customWidth="1"/>
    <col min="3" max="3" width="23.25390625" style="0" customWidth="1"/>
    <col min="4" max="4" width="19.75390625" style="0" customWidth="1"/>
    <col min="5" max="5" width="29.875" style="0" customWidth="1"/>
    <col min="6" max="6" width="14.50390625" style="0" customWidth="1"/>
    <col min="13" max="13" width="10.25390625" style="0" customWidth="1"/>
    <col min="14" max="14" width="11.625" style="0" customWidth="1"/>
    <col min="15" max="15" width="9.75390625" style="0" customWidth="1"/>
    <col min="16" max="16" width="10.00390625" style="0" customWidth="1"/>
  </cols>
  <sheetData>
    <row r="1" spans="1:133" ht="15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2"/>
      <c r="AA1" s="2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</row>
    <row r="2" spans="1:133" ht="15">
      <c r="A2" s="1" t="s">
        <v>1</v>
      </c>
      <c r="B2" s="1"/>
      <c r="C2" s="1"/>
      <c r="D2" s="1"/>
      <c r="E2" s="1"/>
      <c r="F2" s="1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  <c r="Z2" s="2"/>
      <c r="AA2" s="2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</row>
    <row r="3" spans="1:133" ht="12.75">
      <c r="A3" s="6"/>
      <c r="B3" s="6"/>
      <c r="C3" s="6"/>
      <c r="D3" s="6"/>
      <c r="E3" s="6"/>
      <c r="F3" s="6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</row>
    <row r="4" spans="1:133" ht="29.25">
      <c r="A4" s="7" t="s">
        <v>2</v>
      </c>
      <c r="B4" s="7"/>
      <c r="C4" s="7"/>
      <c r="D4" s="7"/>
      <c r="E4" s="7"/>
      <c r="F4" s="7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  <c r="X4" s="2"/>
      <c r="Y4" s="2"/>
      <c r="Z4" s="2"/>
      <c r="AA4" s="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</row>
    <row r="5" spans="1:133" ht="17.25">
      <c r="A5" s="8" t="s">
        <v>3</v>
      </c>
      <c r="B5" s="8"/>
      <c r="C5" s="8"/>
      <c r="D5" s="9" t="s">
        <v>4</v>
      </c>
      <c r="E5" s="9"/>
      <c r="F5" s="9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  <c r="X5" s="2"/>
      <c r="Y5" s="2"/>
      <c r="Z5" s="2"/>
      <c r="AA5" s="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</row>
    <row r="6" spans="1:133" ht="12.75">
      <c r="A6" s="10"/>
      <c r="B6" s="11"/>
      <c r="C6" s="11"/>
      <c r="D6" s="12"/>
      <c r="E6" s="12"/>
      <c r="F6" s="1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"/>
      <c r="X6" s="2"/>
      <c r="Y6" s="2"/>
      <c r="Z6" s="2"/>
      <c r="AA6" s="2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</row>
    <row r="7" spans="1:133" ht="12.75">
      <c r="A7" s="10"/>
      <c r="B7" s="11"/>
      <c r="C7" s="11"/>
      <c r="D7" s="12" t="s">
        <v>5</v>
      </c>
      <c r="E7" s="12"/>
      <c r="F7" s="1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  <c r="X7" s="2"/>
      <c r="Y7" s="2"/>
      <c r="Z7" s="2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</row>
    <row r="8" spans="1:133" ht="12.75">
      <c r="A8" s="10"/>
      <c r="B8" s="11"/>
      <c r="C8" s="11"/>
      <c r="D8" s="12" t="s">
        <v>6</v>
      </c>
      <c r="E8" s="12"/>
      <c r="F8" s="1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2"/>
      <c r="Y8" s="2"/>
      <c r="Z8" s="2"/>
      <c r="AA8" s="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</row>
    <row r="9" spans="1:133" ht="12.75">
      <c r="A9" s="10"/>
      <c r="B9" s="11"/>
      <c r="C9" s="11"/>
      <c r="D9" s="12" t="s">
        <v>7</v>
      </c>
      <c r="E9" s="12"/>
      <c r="F9" s="1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"/>
      <c r="X9" s="2"/>
      <c r="Y9" s="2"/>
      <c r="Z9" s="2"/>
      <c r="AA9" s="2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</row>
    <row r="10" spans="1:133" ht="12.75">
      <c r="A10" s="10"/>
      <c r="B10" s="11"/>
      <c r="C10" s="11"/>
      <c r="D10" s="12"/>
      <c r="E10" s="12"/>
      <c r="F10" s="1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"/>
      <c r="X10" s="2"/>
      <c r="Y10" s="2"/>
      <c r="Z10" s="2"/>
      <c r="AA10" s="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</row>
    <row r="11" spans="1:133" ht="12.75">
      <c r="A11" s="10"/>
      <c r="B11" s="11"/>
      <c r="C11" s="11"/>
      <c r="D11" s="12"/>
      <c r="E11" s="12"/>
      <c r="F11" s="1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  <c r="X11" s="2"/>
      <c r="Y11" s="2"/>
      <c r="Z11" s="2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</row>
    <row r="12" spans="1:133" ht="12.75">
      <c r="A12" s="13"/>
      <c r="B12" s="11"/>
      <c r="C12" s="11"/>
      <c r="D12" s="12"/>
      <c r="E12" s="12"/>
      <c r="F12" s="1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"/>
      <c r="X12" s="2"/>
      <c r="Y12" s="2"/>
      <c r="Z12" s="2"/>
      <c r="AA12" s="2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</row>
    <row r="13" spans="1:133" ht="12.75">
      <c r="A13" s="13"/>
      <c r="B13" s="11"/>
      <c r="C13" s="11"/>
      <c r="D13" s="12"/>
      <c r="E13" s="12"/>
      <c r="F13" s="12"/>
      <c r="G13" s="2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2"/>
      <c r="X13" s="2"/>
      <c r="Y13" s="2"/>
      <c r="Z13" s="2"/>
      <c r="AA13" s="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</row>
    <row r="14" spans="1:133" ht="12.75">
      <c r="A14" s="13"/>
      <c r="B14" s="11"/>
      <c r="C14" s="11"/>
      <c r="D14" s="12"/>
      <c r="E14" s="12"/>
      <c r="F14" s="12"/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/>
      <c r="X14" s="2"/>
      <c r="Y14" s="2"/>
      <c r="Z14" s="2"/>
      <c r="AA14" s="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</row>
    <row r="15" spans="1:133" ht="12.75">
      <c r="A15" s="13"/>
      <c r="B15" s="11"/>
      <c r="C15" s="11"/>
      <c r="D15" s="12"/>
      <c r="E15" s="12"/>
      <c r="F15" s="1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</row>
    <row r="16" spans="1:133" ht="19.5" customHeight="1">
      <c r="A16" s="14" t="s">
        <v>8</v>
      </c>
      <c r="B16" s="15" t="s">
        <v>9</v>
      </c>
      <c r="C16" s="16" t="s">
        <v>10</v>
      </c>
      <c r="D16" s="17" t="s">
        <v>11</v>
      </c>
      <c r="E16" s="18" t="s">
        <v>9</v>
      </c>
      <c r="F16" s="19" t="s">
        <v>10</v>
      </c>
      <c r="G16" s="2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</row>
    <row r="17" spans="1:133" ht="12.75">
      <c r="A17" s="20" t="s">
        <v>12</v>
      </c>
      <c r="B17" s="21" t="s">
        <v>13</v>
      </c>
      <c r="C17" s="22" t="s">
        <v>14</v>
      </c>
      <c r="D17" s="23" t="s">
        <v>15</v>
      </c>
      <c r="E17" s="24" t="s">
        <v>13</v>
      </c>
      <c r="F17" s="25" t="s">
        <v>12</v>
      </c>
      <c r="G17" s="2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"/>
      <c r="X17" s="2"/>
      <c r="Y17" s="2"/>
      <c r="Z17" s="2"/>
      <c r="AA17" s="2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</row>
    <row r="18" spans="1:133" ht="19.5" customHeight="1">
      <c r="A18" s="26" t="s">
        <v>16</v>
      </c>
      <c r="B18" s="27" t="s">
        <v>17</v>
      </c>
      <c r="C18" s="28" t="s">
        <v>18</v>
      </c>
      <c r="D18" s="29" t="s">
        <v>18</v>
      </c>
      <c r="E18" s="30" t="s">
        <v>17</v>
      </c>
      <c r="F18" s="31" t="s">
        <v>16</v>
      </c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"/>
      <c r="X18" s="2"/>
      <c r="Y18" s="2"/>
      <c r="Z18" s="2"/>
      <c r="AA18" s="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</row>
    <row r="19" spans="1:133" ht="19.5" customHeight="1">
      <c r="A19" s="32">
        <v>150</v>
      </c>
      <c r="B19" s="33">
        <v>8</v>
      </c>
      <c r="C19" s="34">
        <f>((O34*B19)/(2*PI()*A19))*1000</f>
        <v>8.488263631567753</v>
      </c>
      <c r="D19" s="35">
        <v>0.40700000000000003</v>
      </c>
      <c r="E19" s="36">
        <v>4.9</v>
      </c>
      <c r="F19" s="37">
        <f>(O34*E19)/((D19/1000)*2*PI())</f>
        <v>1916.1160224822781</v>
      </c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  <c r="X19" s="2"/>
      <c r="Y19" s="2"/>
      <c r="Z19" s="2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</row>
    <row r="20" spans="1:133" ht="12.75">
      <c r="A20" s="10"/>
      <c r="B20" s="38"/>
      <c r="C20" s="39"/>
      <c r="D20" s="40"/>
      <c r="E20" s="41"/>
      <c r="F20" s="42"/>
      <c r="G20" s="2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  <c r="X20" s="2"/>
      <c r="Y20" s="2"/>
      <c r="Z20" s="2"/>
      <c r="AA20" s="2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</row>
    <row r="21" spans="1:133" ht="29.25">
      <c r="A21" s="43" t="s">
        <v>19</v>
      </c>
      <c r="B21" s="43"/>
      <c r="C21" s="43"/>
      <c r="D21" s="43"/>
      <c r="E21" s="43"/>
      <c r="F21" s="43"/>
      <c r="G21" s="2"/>
      <c r="H21" s="2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2"/>
      <c r="Z21" s="2"/>
      <c r="AA21" s="2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</row>
    <row r="22" spans="1:133" ht="17.25">
      <c r="A22" s="44" t="s">
        <v>3</v>
      </c>
      <c r="B22" s="44"/>
      <c r="C22" s="44"/>
      <c r="D22" s="45" t="s">
        <v>4</v>
      </c>
      <c r="E22" s="45"/>
      <c r="F22" s="45"/>
      <c r="G22" s="2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</row>
    <row r="23" spans="1:133" ht="12.75">
      <c r="A23" s="10"/>
      <c r="B23" s="38"/>
      <c r="C23" s="46"/>
      <c r="D23" s="47"/>
      <c r="E23" s="38"/>
      <c r="F23" s="48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</row>
    <row r="24" spans="1:133" ht="12.75">
      <c r="A24" s="10"/>
      <c r="B24" s="38"/>
      <c r="C24" s="46"/>
      <c r="D24" s="12" t="s">
        <v>5</v>
      </c>
      <c r="E24" s="12"/>
      <c r="F24" s="12"/>
      <c r="G24" s="2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</row>
    <row r="25" spans="1:133" ht="13.5" customHeight="1">
      <c r="A25" s="10"/>
      <c r="B25" s="38"/>
      <c r="C25" s="46"/>
      <c r="D25" s="12" t="s">
        <v>6</v>
      </c>
      <c r="E25" s="12"/>
      <c r="F25" s="12"/>
      <c r="G25" s="2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/>
      <c r="X25" s="2"/>
      <c r="Y25" s="2"/>
      <c r="Z25" s="2"/>
      <c r="AA25" s="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</row>
    <row r="26" spans="1:133" ht="13.5" customHeight="1">
      <c r="A26" s="10"/>
      <c r="B26" s="38"/>
      <c r="C26" s="46"/>
      <c r="D26" s="12" t="s">
        <v>7</v>
      </c>
      <c r="E26" s="12"/>
      <c r="F26" s="12"/>
      <c r="G26" s="2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</row>
    <row r="27" spans="1:133" ht="13.5" customHeight="1">
      <c r="A27" s="10"/>
      <c r="B27" s="11"/>
      <c r="C27" s="11"/>
      <c r="D27" s="47"/>
      <c r="E27" s="11"/>
      <c r="F27" s="49"/>
      <c r="G27" s="2"/>
      <c r="H27" s="2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2"/>
      <c r="Y27" s="2"/>
      <c r="Z27" s="2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</row>
    <row r="28" spans="1:133" ht="13.5" customHeight="1">
      <c r="A28" s="10"/>
      <c r="B28" s="11"/>
      <c r="C28" s="11"/>
      <c r="D28" s="47"/>
      <c r="E28" s="11"/>
      <c r="F28" s="49"/>
      <c r="G28" s="2"/>
      <c r="H28" s="2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</row>
    <row r="29" spans="1:133" ht="13.5" customHeight="1">
      <c r="A29" s="10"/>
      <c r="B29" s="11"/>
      <c r="C29" s="11"/>
      <c r="D29" s="47"/>
      <c r="E29" s="11"/>
      <c r="F29" s="49"/>
      <c r="G29" s="2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</row>
    <row r="30" spans="1:133" ht="13.5" customHeight="1">
      <c r="A30" s="10"/>
      <c r="B30" s="11"/>
      <c r="C30" s="11"/>
      <c r="D30" s="47"/>
      <c r="E30" s="11"/>
      <c r="F30" s="49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"/>
      <c r="X30" s="2"/>
      <c r="Y30" s="2"/>
      <c r="Z30" s="2"/>
      <c r="AA30" s="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</row>
    <row r="31" spans="1:133" ht="13.5" customHeight="1">
      <c r="A31" s="10"/>
      <c r="B31" s="11"/>
      <c r="C31" s="11"/>
      <c r="D31" s="47"/>
      <c r="E31" s="11"/>
      <c r="F31" s="49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X31" s="2"/>
      <c r="Y31" s="2"/>
      <c r="Z31" s="2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</row>
    <row r="32" spans="1:133" ht="12.75" customHeight="1">
      <c r="A32" s="10"/>
      <c r="B32" s="11"/>
      <c r="C32" s="11"/>
      <c r="D32" s="47"/>
      <c r="E32" s="11"/>
      <c r="F32" s="49"/>
      <c r="G32" s="2"/>
      <c r="H32" s="2"/>
      <c r="I32" s="2"/>
      <c r="J32" s="3"/>
      <c r="K32" s="3"/>
      <c r="L32" s="3"/>
      <c r="M32" s="3"/>
      <c r="N32" s="50" t="s">
        <v>20</v>
      </c>
      <c r="O32" s="51" t="s">
        <v>21</v>
      </c>
      <c r="P32" s="51"/>
      <c r="Q32" s="51"/>
      <c r="R32" s="51"/>
      <c r="S32" s="51"/>
      <c r="T32" s="51"/>
      <c r="U32" s="3"/>
      <c r="V32" s="3"/>
      <c r="W32" s="2"/>
      <c r="X32" s="2"/>
      <c r="Y32" s="2"/>
      <c r="Z32" s="2"/>
      <c r="AA32" s="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</row>
    <row r="33" spans="1:133" ht="12.75">
      <c r="A33" s="52"/>
      <c r="B33" s="11"/>
      <c r="C33" s="11"/>
      <c r="D33" s="47"/>
      <c r="E33" s="11"/>
      <c r="F33" s="49"/>
      <c r="G33" s="2"/>
      <c r="H33" s="2"/>
      <c r="I33" s="2"/>
      <c r="J33" s="3"/>
      <c r="K33" s="3"/>
      <c r="L33" s="3"/>
      <c r="M33" s="3"/>
      <c r="N33" s="50"/>
      <c r="O33" s="53">
        <v>1</v>
      </c>
      <c r="P33" s="53">
        <v>2</v>
      </c>
      <c r="Q33" s="53">
        <v>3</v>
      </c>
      <c r="R33" s="53">
        <v>4</v>
      </c>
      <c r="S33" s="53">
        <v>5</v>
      </c>
      <c r="T33" s="53">
        <v>6</v>
      </c>
      <c r="U33" s="3"/>
      <c r="V33" s="3"/>
      <c r="W33" s="2"/>
      <c r="X33" s="2"/>
      <c r="Y33" s="2"/>
      <c r="Z33" s="2"/>
      <c r="AA33" s="2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</row>
    <row r="34" spans="1:133" ht="19.5" customHeight="1">
      <c r="A34" s="54" t="s">
        <v>8</v>
      </c>
      <c r="B34" s="55" t="s">
        <v>9</v>
      </c>
      <c r="C34" s="56" t="s">
        <v>10</v>
      </c>
      <c r="D34" s="57" t="s">
        <v>22</v>
      </c>
      <c r="E34" s="58" t="s">
        <v>9</v>
      </c>
      <c r="F34" s="59" t="s">
        <v>10</v>
      </c>
      <c r="G34" s="2"/>
      <c r="H34" s="2"/>
      <c r="I34" s="2"/>
      <c r="J34" s="3"/>
      <c r="K34" s="3"/>
      <c r="L34" s="3"/>
      <c r="M34" s="3"/>
      <c r="N34" s="53">
        <v>1</v>
      </c>
      <c r="O34" s="60">
        <v>1</v>
      </c>
      <c r="P34" s="61"/>
      <c r="Q34" s="61"/>
      <c r="R34" s="61"/>
      <c r="S34" s="61"/>
      <c r="T34" s="61"/>
      <c r="U34" s="3"/>
      <c r="V34" s="3"/>
      <c r="W34" s="2"/>
      <c r="X34" s="2"/>
      <c r="Y34" s="2"/>
      <c r="Z34" s="2"/>
      <c r="AA34" s="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</row>
    <row r="35" spans="1:133" ht="12.75">
      <c r="A35" s="62" t="s">
        <v>12</v>
      </c>
      <c r="B35" s="21" t="s">
        <v>13</v>
      </c>
      <c r="C35" s="63" t="s">
        <v>23</v>
      </c>
      <c r="D35" s="64" t="s">
        <v>24</v>
      </c>
      <c r="E35" s="65" t="s">
        <v>13</v>
      </c>
      <c r="F35" s="66" t="s">
        <v>12</v>
      </c>
      <c r="G35" s="2"/>
      <c r="H35" s="2"/>
      <c r="I35" s="2"/>
      <c r="J35" s="3"/>
      <c r="K35" s="3"/>
      <c r="L35" s="3"/>
      <c r="M35" s="3"/>
      <c r="N35" s="53">
        <v>2</v>
      </c>
      <c r="O35" s="61">
        <v>2</v>
      </c>
      <c r="P35" s="61">
        <v>0.5</v>
      </c>
      <c r="Q35" s="61"/>
      <c r="R35" s="61"/>
      <c r="S35" s="61"/>
      <c r="T35" s="61"/>
      <c r="U35" s="3"/>
      <c r="V35" s="3"/>
      <c r="W35" s="2"/>
      <c r="X35" s="2"/>
      <c r="Y35" s="2"/>
      <c r="Z35" s="2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</row>
    <row r="36" spans="1:133" ht="19.5" customHeight="1">
      <c r="A36" s="26" t="s">
        <v>16</v>
      </c>
      <c r="B36" s="67" t="s">
        <v>17</v>
      </c>
      <c r="C36" s="28" t="s">
        <v>25</v>
      </c>
      <c r="D36" s="68" t="s">
        <v>25</v>
      </c>
      <c r="E36" s="69" t="s">
        <v>17</v>
      </c>
      <c r="F36" s="31" t="s">
        <v>16</v>
      </c>
      <c r="G36" s="2"/>
      <c r="H36" s="2"/>
      <c r="I36" s="2"/>
      <c r="J36" s="3"/>
      <c r="K36" s="3"/>
      <c r="L36" s="3"/>
      <c r="M36" s="3"/>
      <c r="N36" s="53">
        <v>3</v>
      </c>
      <c r="O36" s="61">
        <v>1.5</v>
      </c>
      <c r="P36" s="61">
        <v>1.3333300000000001</v>
      </c>
      <c r="Q36" s="61">
        <v>0.5</v>
      </c>
      <c r="R36" s="61"/>
      <c r="S36" s="61"/>
      <c r="T36" s="61"/>
      <c r="U36" s="3"/>
      <c r="V36" s="3"/>
      <c r="W36" s="2"/>
      <c r="X36" s="2"/>
      <c r="Y36" s="2"/>
      <c r="Z36" s="2"/>
      <c r="AA36" s="2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</row>
    <row r="37" spans="1:133" ht="19.5" customHeight="1">
      <c r="A37" s="70">
        <v>1000</v>
      </c>
      <c r="B37" s="71">
        <v>4</v>
      </c>
      <c r="C37" s="72">
        <f>(1/(2*PI()*A37*O34*B37))*1000000</f>
        <v>39.78873577297384</v>
      </c>
      <c r="D37" s="73">
        <v>39.789</v>
      </c>
      <c r="E37" s="74">
        <v>4</v>
      </c>
      <c r="F37" s="75">
        <f>1/((D37/1000000)*2*PI()*O34*E37)</f>
        <v>999.9933592946251</v>
      </c>
      <c r="G37" s="2"/>
      <c r="H37" s="2"/>
      <c r="I37" s="2"/>
      <c r="J37" s="3"/>
      <c r="K37" s="3"/>
      <c r="L37" s="3"/>
      <c r="M37" s="3"/>
      <c r="N37" s="53">
        <v>4</v>
      </c>
      <c r="O37" s="61">
        <v>1.88562</v>
      </c>
      <c r="P37" s="61">
        <v>1.5909900000000001</v>
      </c>
      <c r="Q37" s="61">
        <v>0.94281</v>
      </c>
      <c r="R37" s="61">
        <v>0.35355000000000003</v>
      </c>
      <c r="S37" s="61"/>
      <c r="T37" s="61"/>
      <c r="U37" s="3"/>
      <c r="V37" s="3"/>
      <c r="W37" s="2"/>
      <c r="X37" s="2"/>
      <c r="Y37" s="2"/>
      <c r="Z37" s="2"/>
      <c r="AA37" s="2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</row>
    <row r="38" spans="1:133" ht="12.75">
      <c r="A38" s="10"/>
      <c r="B38" s="11"/>
      <c r="C38" s="11"/>
      <c r="D38" s="47"/>
      <c r="E38" s="11"/>
      <c r="F38" s="49"/>
      <c r="G38" s="2"/>
      <c r="H38" s="2"/>
      <c r="I38" s="2"/>
      <c r="J38" s="3"/>
      <c r="K38" s="3"/>
      <c r="L38" s="3"/>
      <c r="M38" s="3"/>
      <c r="N38" s="53">
        <v>5</v>
      </c>
      <c r="O38" s="76">
        <v>1.5451100000000002</v>
      </c>
      <c r="P38" s="61">
        <v>1.6944</v>
      </c>
      <c r="Q38" s="61">
        <v>1.38198</v>
      </c>
      <c r="R38" s="61">
        <v>0.8944300000000001</v>
      </c>
      <c r="S38" s="61">
        <v>0.30901</v>
      </c>
      <c r="T38" s="61"/>
      <c r="U38" s="3"/>
      <c r="V38" s="3"/>
      <c r="W38" s="2"/>
      <c r="X38" s="2"/>
      <c r="Y38" s="2"/>
      <c r="Z38" s="2"/>
      <c r="AA38" s="2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</row>
    <row r="39" spans="1:133" ht="29.25">
      <c r="A39" s="77" t="s">
        <v>26</v>
      </c>
      <c r="B39" s="77"/>
      <c r="C39" s="77"/>
      <c r="D39" s="77"/>
      <c r="E39" s="77"/>
      <c r="F39" s="77"/>
      <c r="G39" s="2"/>
      <c r="H39" s="2"/>
      <c r="I39" s="2"/>
      <c r="J39" s="3"/>
      <c r="K39" s="3"/>
      <c r="L39" s="3"/>
      <c r="M39" s="3"/>
      <c r="N39" s="53">
        <v>6</v>
      </c>
      <c r="O39" s="61">
        <v>1.8</v>
      </c>
      <c r="P39" s="61">
        <v>1.8518500000000002</v>
      </c>
      <c r="Q39" s="61">
        <v>1.47273</v>
      </c>
      <c r="R39" s="61">
        <v>1.12037</v>
      </c>
      <c r="S39" s="61">
        <v>0.7272700000000001</v>
      </c>
      <c r="T39" s="61">
        <v>0.5</v>
      </c>
      <c r="U39" s="3"/>
      <c r="V39" s="3"/>
      <c r="W39" s="2"/>
      <c r="X39" s="2"/>
      <c r="Y39" s="2"/>
      <c r="Z39" s="2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</row>
    <row r="40" spans="1:133" ht="17.25">
      <c r="A40" s="78" t="s">
        <v>3</v>
      </c>
      <c r="B40" s="78"/>
      <c r="C40" s="78"/>
      <c r="D40" s="79" t="s">
        <v>4</v>
      </c>
      <c r="E40" s="79"/>
      <c r="F40" s="79"/>
      <c r="G40" s="2"/>
      <c r="H40" s="2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</row>
    <row r="41" spans="1:133" ht="12.75">
      <c r="A41" s="10"/>
      <c r="B41" s="11"/>
      <c r="C41" s="11"/>
      <c r="D41" s="12"/>
      <c r="E41" s="12"/>
      <c r="F41" s="12"/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</row>
    <row r="42" spans="1:133" ht="12.75">
      <c r="A42" s="10"/>
      <c r="B42" s="11"/>
      <c r="C42" s="11"/>
      <c r="D42" s="12" t="s">
        <v>5</v>
      </c>
      <c r="E42" s="12"/>
      <c r="F42" s="1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</row>
    <row r="43" spans="1:133" ht="12.75">
      <c r="A43" s="10"/>
      <c r="B43" s="11"/>
      <c r="C43" s="11"/>
      <c r="D43" s="12" t="s">
        <v>6</v>
      </c>
      <c r="E43" s="12"/>
      <c r="F43" s="1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</row>
    <row r="44" spans="1:133" ht="12.75">
      <c r="A44" s="10"/>
      <c r="B44" s="11"/>
      <c r="C44" s="11"/>
      <c r="D44" s="12" t="s">
        <v>7</v>
      </c>
      <c r="E44" s="12"/>
      <c r="F44" s="1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</row>
    <row r="45" spans="1:133" ht="12.75">
      <c r="A45" s="10"/>
      <c r="B45" s="11"/>
      <c r="C45" s="11"/>
      <c r="D45" s="12"/>
      <c r="E45" s="12"/>
      <c r="F45" s="12"/>
      <c r="G45" s="2"/>
      <c r="H45" s="2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</row>
    <row r="46" spans="1:133" ht="12.75">
      <c r="A46" s="10"/>
      <c r="B46" s="11"/>
      <c r="C46" s="11"/>
      <c r="D46" s="12"/>
      <c r="E46" s="12"/>
      <c r="F46" s="12"/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</row>
    <row r="47" spans="1:133" ht="12.75">
      <c r="A47" s="10"/>
      <c r="B47" s="11"/>
      <c r="C47" s="11"/>
      <c r="D47" s="12"/>
      <c r="E47" s="12"/>
      <c r="F47" s="12"/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</row>
    <row r="48" spans="1:133" ht="12.75">
      <c r="A48" s="10"/>
      <c r="B48" s="11"/>
      <c r="C48" s="11"/>
      <c r="D48" s="12"/>
      <c r="E48" s="12"/>
      <c r="F48" s="12"/>
      <c r="G48" s="2"/>
      <c r="H48" s="2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</row>
    <row r="49" spans="1:133" ht="12.75">
      <c r="A49" s="10"/>
      <c r="B49" s="11"/>
      <c r="C49" s="11"/>
      <c r="D49" s="12"/>
      <c r="E49" s="12"/>
      <c r="F49" s="12"/>
      <c r="G49" s="2"/>
      <c r="H49" s="2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</row>
    <row r="50" spans="1:133" ht="12.75">
      <c r="A50" s="11"/>
      <c r="B50" s="11"/>
      <c r="C50" s="11"/>
      <c r="D50" s="12"/>
      <c r="E50" s="12"/>
      <c r="F50" s="12"/>
      <c r="G50" s="2"/>
      <c r="H50" s="2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</row>
    <row r="51" spans="1:133" ht="19.5" customHeight="1">
      <c r="A51" s="14" t="s">
        <v>8</v>
      </c>
      <c r="B51" s="15" t="s">
        <v>9</v>
      </c>
      <c r="C51" s="80"/>
      <c r="D51" s="57" t="s">
        <v>27</v>
      </c>
      <c r="E51" s="58" t="s">
        <v>9</v>
      </c>
      <c r="F51" s="59" t="s">
        <v>28</v>
      </c>
      <c r="G51" s="2"/>
      <c r="H51" s="2"/>
      <c r="I51" s="2"/>
      <c r="J51" s="3"/>
      <c r="K51" s="3"/>
      <c r="L51" s="3"/>
      <c r="M51" s="3"/>
      <c r="N51" s="3" t="s">
        <v>29</v>
      </c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</row>
    <row r="52" spans="1:133" ht="12.75">
      <c r="A52" s="81" t="s">
        <v>12</v>
      </c>
      <c r="B52" s="82" t="s">
        <v>13</v>
      </c>
      <c r="C52" s="22" t="s">
        <v>10</v>
      </c>
      <c r="D52" s="64" t="s">
        <v>30</v>
      </c>
      <c r="E52" s="65" t="s">
        <v>13</v>
      </c>
      <c r="F52" s="66" t="s">
        <v>31</v>
      </c>
      <c r="G52" s="2"/>
      <c r="H52" s="2"/>
      <c r="I52" s="2"/>
      <c r="J52" s="3"/>
      <c r="K52" s="3"/>
      <c r="L52" s="3"/>
      <c r="M52" s="3"/>
      <c r="N52" s="3">
        <f>SQRT(PRODUCT(A54,A56))</f>
        <v>316.22776601683796</v>
      </c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</row>
    <row r="53" spans="1:133" ht="19.5" customHeight="1">
      <c r="A53" s="83" t="s">
        <v>32</v>
      </c>
      <c r="B53" s="27" t="s">
        <v>17</v>
      </c>
      <c r="C53" s="22" t="s">
        <v>33</v>
      </c>
      <c r="D53" s="68" t="s">
        <v>33</v>
      </c>
      <c r="E53" s="69" t="s">
        <v>17</v>
      </c>
      <c r="F53" s="84" t="s">
        <v>34</v>
      </c>
      <c r="G53" s="2"/>
      <c r="H53" s="2"/>
      <c r="I53" s="2"/>
      <c r="J53" s="3"/>
      <c r="K53" s="3"/>
      <c r="L53" s="3"/>
      <c r="M53" s="3"/>
      <c r="N53" s="3" t="s">
        <v>35</v>
      </c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</row>
    <row r="54" spans="1:133" ht="19.5" customHeight="1">
      <c r="A54" s="85">
        <v>100</v>
      </c>
      <c r="B54" s="86">
        <v>8</v>
      </c>
      <c r="C54" s="34">
        <f>(1/(4*POWER(PI(),2)*POWER(N52,2)*N54))*1000000</f>
        <v>179.04931097838224</v>
      </c>
      <c r="D54" s="87">
        <v>179.049</v>
      </c>
      <c r="E54" s="88">
        <v>8</v>
      </c>
      <c r="F54" s="75">
        <f>R62</f>
        <v>99.99829830841122</v>
      </c>
      <c r="G54" s="2"/>
      <c r="H54" s="2"/>
      <c r="I54" s="2"/>
      <c r="J54" s="3"/>
      <c r="K54" s="3"/>
      <c r="L54" s="3"/>
      <c r="M54" s="3"/>
      <c r="N54" s="3">
        <f>(O34*B54)/(2*PI()*(A56-A54))</f>
        <v>0.001414710605261292</v>
      </c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</row>
    <row r="55" spans="1:133" ht="19.5" customHeight="1">
      <c r="A55" s="89" t="s">
        <v>36</v>
      </c>
      <c r="B55" s="90"/>
      <c r="C55" s="91" t="s">
        <v>37</v>
      </c>
      <c r="D55" s="92" t="s">
        <v>37</v>
      </c>
      <c r="E55" s="93"/>
      <c r="F55" s="94" t="s">
        <v>38</v>
      </c>
      <c r="G55" s="2"/>
      <c r="H55" s="2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</row>
    <row r="56" spans="1:133" ht="19.5" customHeight="1">
      <c r="A56" s="32">
        <v>1000</v>
      </c>
      <c r="B56" s="90"/>
      <c r="C56" s="34">
        <f>N54*1000</f>
        <v>1.414710605261292</v>
      </c>
      <c r="D56" s="87">
        <v>1.415</v>
      </c>
      <c r="E56" s="93"/>
      <c r="F56" s="75">
        <f>R61</f>
        <v>999.8142309834379</v>
      </c>
      <c r="G56" s="2"/>
      <c r="H56" s="2"/>
      <c r="I56" s="2"/>
      <c r="J56" s="3"/>
      <c r="K56" s="3"/>
      <c r="L56" s="3"/>
      <c r="M56" s="3"/>
      <c r="N56" s="3" t="s">
        <v>39</v>
      </c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</row>
    <row r="57" spans="1:133" ht="12.75">
      <c r="A57" s="11"/>
      <c r="B57" s="11"/>
      <c r="C57" s="11"/>
      <c r="D57" s="95"/>
      <c r="E57" s="96"/>
      <c r="F57" s="97"/>
      <c r="G57" s="2"/>
      <c r="H57" s="2"/>
      <c r="I57" s="2"/>
      <c r="J57" s="3"/>
      <c r="K57" s="3"/>
      <c r="L57" s="3"/>
      <c r="M57" s="3"/>
      <c r="N57" s="3" t="s">
        <v>40</v>
      </c>
      <c r="O57" s="3"/>
      <c r="P57" s="3"/>
      <c r="Q57" s="3" t="s">
        <v>41</v>
      </c>
      <c r="R57" s="3"/>
      <c r="S57" s="3">
        <f>(POWER(R61,2))-(O58*R61)-O59</f>
        <v>0</v>
      </c>
      <c r="T57" s="3"/>
      <c r="U57" s="3"/>
      <c r="V57" s="3"/>
      <c r="W57" s="2"/>
      <c r="X57" s="2"/>
      <c r="Y57" s="2"/>
      <c r="Z57" s="2"/>
      <c r="AA57" s="2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</row>
    <row r="58" spans="1:133" ht="29.25">
      <c r="A58" s="98" t="s">
        <v>42</v>
      </c>
      <c r="B58" s="98"/>
      <c r="C58" s="98"/>
      <c r="D58" s="98"/>
      <c r="E58" s="98"/>
      <c r="F58" s="98"/>
      <c r="G58" s="2"/>
      <c r="H58" s="2"/>
      <c r="I58" s="2"/>
      <c r="J58" s="3"/>
      <c r="K58" s="3"/>
      <c r="L58" s="3"/>
      <c r="M58" s="3"/>
      <c r="N58" s="99" t="s">
        <v>43</v>
      </c>
      <c r="O58" s="3">
        <f>(O34*E54)/((D56/1000)*2*PI())</f>
        <v>899.8159326750267</v>
      </c>
      <c r="P58" s="3"/>
      <c r="Q58" s="3">
        <f>SQRT(O59)</f>
        <v>316.1957016198616</v>
      </c>
      <c r="R58" s="3"/>
      <c r="S58" s="3">
        <f>(POWER(T61,2))-(O58*T61)-O59</f>
        <v>0</v>
      </c>
      <c r="T58" s="3"/>
      <c r="U58" s="3"/>
      <c r="V58" s="3"/>
      <c r="W58" s="2"/>
      <c r="X58" s="2"/>
      <c r="Y58" s="2"/>
      <c r="Z58" s="2"/>
      <c r="AA58" s="2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</row>
    <row r="59" spans="1:133" ht="17.25">
      <c r="A59" s="100" t="s">
        <v>3</v>
      </c>
      <c r="B59" s="100"/>
      <c r="C59" s="100"/>
      <c r="D59" s="101" t="s">
        <v>4</v>
      </c>
      <c r="E59" s="101"/>
      <c r="F59" s="101"/>
      <c r="G59" s="2"/>
      <c r="H59" s="2"/>
      <c r="I59" s="2"/>
      <c r="J59" s="3"/>
      <c r="K59" s="3"/>
      <c r="L59" s="3"/>
      <c r="M59" s="3"/>
      <c r="N59" s="99" t="s">
        <v>44</v>
      </c>
      <c r="O59" s="3">
        <f>1/((D54/1000000)*4*POWER(PI(),2)*(D56/1000))</f>
        <v>99979.72172287655</v>
      </c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</row>
    <row r="60" spans="1:133" ht="12.75">
      <c r="A60" s="11"/>
      <c r="B60" s="11"/>
      <c r="C60" s="11"/>
      <c r="D60" s="47"/>
      <c r="E60" s="11"/>
      <c r="F60" s="49"/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</row>
    <row r="61" spans="1:133" ht="12.75">
      <c r="A61" s="11"/>
      <c r="B61" s="11"/>
      <c r="C61" s="11"/>
      <c r="D61" s="12" t="s">
        <v>5</v>
      </c>
      <c r="E61" s="12"/>
      <c r="F61" s="12"/>
      <c r="G61" s="2"/>
      <c r="H61" s="2"/>
      <c r="I61" s="2"/>
      <c r="J61" s="3"/>
      <c r="K61" s="3"/>
      <c r="L61" s="3"/>
      <c r="M61" s="3"/>
      <c r="N61" s="3" t="s">
        <v>45</v>
      </c>
      <c r="O61" s="3" t="s">
        <v>46</v>
      </c>
      <c r="P61" s="3">
        <f>POWER(O58,2)+(4*O59)</f>
        <v>1209587.5995873343</v>
      </c>
      <c r="Q61" s="99" t="s">
        <v>47</v>
      </c>
      <c r="R61" s="3">
        <f>(O58+SQRT(P61))/2</f>
        <v>999.8142309834379</v>
      </c>
      <c r="S61" s="99" t="s">
        <v>48</v>
      </c>
      <c r="T61" s="3">
        <f>(O58-SQRT(P61))/2</f>
        <v>-99.99829830841122</v>
      </c>
      <c r="U61" s="3"/>
      <c r="V61" s="3"/>
      <c r="W61" s="2"/>
      <c r="X61" s="2"/>
      <c r="Y61" s="2"/>
      <c r="Z61" s="2"/>
      <c r="AA61" s="2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</row>
    <row r="62" spans="1:133" ht="12.75">
      <c r="A62" s="11"/>
      <c r="B62" s="11"/>
      <c r="C62" s="11"/>
      <c r="D62" s="12" t="s">
        <v>6</v>
      </c>
      <c r="E62" s="12"/>
      <c r="F62" s="12"/>
      <c r="G62" s="2"/>
      <c r="H62" s="2"/>
      <c r="I62" s="2"/>
      <c r="J62" s="3"/>
      <c r="K62" s="3"/>
      <c r="L62" s="3"/>
      <c r="M62" s="3"/>
      <c r="N62" s="3" t="s">
        <v>49</v>
      </c>
      <c r="O62" s="3" t="s">
        <v>46</v>
      </c>
      <c r="P62" s="3">
        <f>POWER(O58,2)+(4*O59)</f>
        <v>1209587.5995873343</v>
      </c>
      <c r="Q62" s="99" t="s">
        <v>50</v>
      </c>
      <c r="R62" s="3">
        <f>(-O58+SQRT(P62))/2</f>
        <v>99.99829830841122</v>
      </c>
      <c r="S62" s="99" t="s">
        <v>51</v>
      </c>
      <c r="T62" s="3">
        <f>(-O58-SQRT(P62))/2</f>
        <v>-999.8142309834379</v>
      </c>
      <c r="U62" s="3"/>
      <c r="V62" s="3"/>
      <c r="W62" s="2"/>
      <c r="X62" s="2"/>
      <c r="Y62" s="2"/>
      <c r="Z62" s="2"/>
      <c r="AA62" s="2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</row>
    <row r="63" spans="1:133" ht="12.75">
      <c r="A63" s="11"/>
      <c r="B63" s="11"/>
      <c r="C63" s="11"/>
      <c r="D63" s="12" t="s">
        <v>7</v>
      </c>
      <c r="E63" s="12"/>
      <c r="F63" s="12"/>
      <c r="G63" s="2"/>
      <c r="H63" s="2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2"/>
      <c r="Z63" s="2"/>
      <c r="AA63" s="2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</row>
    <row r="64" spans="1:133" ht="12.75">
      <c r="A64" s="11"/>
      <c r="B64" s="11"/>
      <c r="C64" s="11"/>
      <c r="D64" s="12" t="s">
        <v>52</v>
      </c>
      <c r="E64" s="12"/>
      <c r="F64" s="12"/>
      <c r="G64" s="2"/>
      <c r="H64" s="2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  <c r="X64" s="2"/>
      <c r="Y64" s="2"/>
      <c r="Z64" s="2"/>
      <c r="AA64" s="2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</row>
    <row r="65" spans="1:133" ht="12.75">
      <c r="A65" s="11"/>
      <c r="B65" s="11"/>
      <c r="C65" s="11"/>
      <c r="D65" s="12" t="s">
        <v>53</v>
      </c>
      <c r="E65" s="12"/>
      <c r="F65" s="12"/>
      <c r="G65" s="2"/>
      <c r="H65" s="2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"/>
      <c r="X65" s="2"/>
      <c r="Y65" s="2"/>
      <c r="Z65" s="2"/>
      <c r="AA65" s="2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</row>
    <row r="66" spans="1:133" ht="12.75">
      <c r="A66" s="11"/>
      <c r="B66" s="11"/>
      <c r="C66" s="11"/>
      <c r="D66" s="12" t="s">
        <v>54</v>
      </c>
      <c r="E66" s="12"/>
      <c r="F66" s="12"/>
      <c r="G66" s="2"/>
      <c r="H66" s="2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"/>
      <c r="X66" s="2"/>
      <c r="Y66" s="2"/>
      <c r="Z66" s="2"/>
      <c r="AA66" s="2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</row>
    <row r="67" spans="1:133" ht="12.75">
      <c r="A67" s="11"/>
      <c r="B67" s="11"/>
      <c r="C67" s="11"/>
      <c r="D67" s="12" t="s">
        <v>55</v>
      </c>
      <c r="E67" s="12"/>
      <c r="F67" s="1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</row>
    <row r="68" spans="1:133" ht="12.75">
      <c r="A68" s="11"/>
      <c r="B68" s="11"/>
      <c r="C68" s="11"/>
      <c r="D68" s="12" t="s">
        <v>56</v>
      </c>
      <c r="E68" s="12"/>
      <c r="F68" s="1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</row>
    <row r="69" spans="1:133" ht="12.75">
      <c r="A69" s="11"/>
      <c r="B69" s="11"/>
      <c r="C69" s="11"/>
      <c r="D69" s="102" t="s">
        <v>57</v>
      </c>
      <c r="E69" s="102"/>
      <c r="F69" s="10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</row>
    <row r="70" spans="1:133" ht="19.5" customHeight="1">
      <c r="A70" s="14" t="s">
        <v>8</v>
      </c>
      <c r="B70" s="15" t="s">
        <v>9</v>
      </c>
      <c r="C70" s="80"/>
      <c r="D70" s="58" t="s">
        <v>27</v>
      </c>
      <c r="E70" s="58" t="s">
        <v>9</v>
      </c>
      <c r="F70" s="59" t="s">
        <v>10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</row>
    <row r="71" spans="1:133" ht="12.75">
      <c r="A71" s="81" t="s">
        <v>12</v>
      </c>
      <c r="B71" s="82" t="s">
        <v>13</v>
      </c>
      <c r="C71" s="22" t="s">
        <v>10</v>
      </c>
      <c r="D71" s="65" t="s">
        <v>30</v>
      </c>
      <c r="E71" s="65" t="s">
        <v>13</v>
      </c>
      <c r="F71" s="66" t="s">
        <v>12</v>
      </c>
      <c r="G71" s="2"/>
      <c r="H71" s="2"/>
      <c r="I71" s="2"/>
      <c r="J71" s="2" t="s">
        <v>58</v>
      </c>
      <c r="K71" s="2" t="s">
        <v>59</v>
      </c>
      <c r="L71" s="2"/>
      <c r="M71" s="2"/>
      <c r="N71" s="2"/>
      <c r="O71" s="2"/>
      <c r="P71" s="2"/>
      <c r="Q71" s="2">
        <f>(80*16/5000)*2</f>
        <v>0.512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</row>
    <row r="72" spans="1:133" ht="19.5" customHeight="1">
      <c r="A72" s="103" t="s">
        <v>16</v>
      </c>
      <c r="B72" s="27" t="s">
        <v>17</v>
      </c>
      <c r="C72" s="104" t="s">
        <v>37</v>
      </c>
      <c r="D72" s="105" t="s">
        <v>37</v>
      </c>
      <c r="E72" s="69" t="s">
        <v>17</v>
      </c>
      <c r="F72" s="84" t="s">
        <v>16</v>
      </c>
      <c r="G72" s="2"/>
      <c r="H72" s="2"/>
      <c r="I72" s="2"/>
      <c r="J72" s="2">
        <f>(O35*E73)/((D73/1000)*2*PI())</f>
        <v>6863.825039003573</v>
      </c>
      <c r="K72" s="2">
        <f>P35/((D75/1000000)*2*PI()*E73)</f>
        <v>2572.3258193026786</v>
      </c>
      <c r="L72" s="2"/>
      <c r="M72" s="2"/>
      <c r="N72" s="2"/>
      <c r="O72" s="2"/>
      <c r="P72" s="2"/>
      <c r="Q72" s="2">
        <f>(80000/(16*5000))*2</f>
        <v>2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</row>
    <row r="73" spans="1:133" ht="19.5" customHeight="1">
      <c r="A73" s="106">
        <v>4000</v>
      </c>
      <c r="B73" s="107">
        <v>8</v>
      </c>
      <c r="C73" s="34">
        <f>((O35*B73)/(2*PI()*A73))*1000</f>
        <v>0.6366197723675814</v>
      </c>
      <c r="D73" s="88">
        <v>0.371</v>
      </c>
      <c r="E73" s="88">
        <v>8</v>
      </c>
      <c r="F73" s="75">
        <f>SQRT(J72*K72)</f>
        <v>4201.903659890967</v>
      </c>
      <c r="G73" s="108">
        <f>SQRT(J72*K72)</f>
        <v>4201.903659890967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</row>
    <row r="74" spans="1:133" ht="19.5" customHeight="1">
      <c r="A74" s="89"/>
      <c r="B74" s="90"/>
      <c r="C74" s="91" t="s">
        <v>33</v>
      </c>
      <c r="D74" s="93" t="s">
        <v>33</v>
      </c>
      <c r="E74" s="93"/>
      <c r="F74" s="9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</row>
    <row r="75" spans="1:133" ht="19.5" customHeight="1">
      <c r="A75" s="89"/>
      <c r="B75" s="90"/>
      <c r="C75" s="34">
        <f>(P35/(2*PI()*A73*B73))*1000000</f>
        <v>2.486795985810865</v>
      </c>
      <c r="D75" s="88">
        <v>3.867</v>
      </c>
      <c r="E75" s="109" t="s">
        <v>60</v>
      </c>
      <c r="F75" s="75">
        <f>AVERAGE(J72:K72)</f>
        <v>4718.075429153126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</row>
    <row r="76" spans="1:133" ht="12.75">
      <c r="A76" s="11"/>
      <c r="B76" s="11"/>
      <c r="C76" s="11"/>
      <c r="D76" s="47"/>
      <c r="E76" s="11"/>
      <c r="F76" s="4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</row>
    <row r="77" spans="1:133" ht="29.25">
      <c r="A77" s="110" t="s">
        <v>61</v>
      </c>
      <c r="B77" s="110"/>
      <c r="C77" s="110"/>
      <c r="D77" s="110"/>
      <c r="E77" s="110"/>
      <c r="F77" s="1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</row>
    <row r="78" spans="1:133" ht="17.25">
      <c r="A78" s="111" t="s">
        <v>3</v>
      </c>
      <c r="B78" s="111"/>
      <c r="C78" s="111"/>
      <c r="D78" s="112" t="s">
        <v>4</v>
      </c>
      <c r="E78" s="112"/>
      <c r="F78" s="11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</row>
    <row r="79" spans="1:133" ht="12.75">
      <c r="A79" s="11"/>
      <c r="B79" s="11"/>
      <c r="C79" s="11"/>
      <c r="D79" s="113"/>
      <c r="E79" s="113"/>
      <c r="F79" s="1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</row>
    <row r="80" spans="1:133" ht="12.75">
      <c r="A80" s="11"/>
      <c r="B80" s="11"/>
      <c r="C80" s="11"/>
      <c r="D80" s="12" t="s">
        <v>5</v>
      </c>
      <c r="E80" s="12"/>
      <c r="F80" s="1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</row>
    <row r="81" spans="1:133" ht="12.75">
      <c r="A81" s="11"/>
      <c r="B81" s="11"/>
      <c r="C81" s="11"/>
      <c r="D81" s="12" t="s">
        <v>6</v>
      </c>
      <c r="E81" s="12"/>
      <c r="F81" s="1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</row>
    <row r="82" spans="1:133" ht="12.75">
      <c r="A82" s="11"/>
      <c r="B82" s="11"/>
      <c r="C82" s="11"/>
      <c r="D82" s="12" t="s">
        <v>7</v>
      </c>
      <c r="E82" s="12"/>
      <c r="F82" s="1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</row>
    <row r="83" spans="1:133" ht="12.75">
      <c r="A83" s="11"/>
      <c r="B83" s="11"/>
      <c r="C83" s="11"/>
      <c r="D83" s="12" t="s">
        <v>52</v>
      </c>
      <c r="E83" s="12"/>
      <c r="F83" s="1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</row>
    <row r="84" spans="1:133" ht="12.75">
      <c r="A84" s="11"/>
      <c r="B84" s="11"/>
      <c r="C84" s="11"/>
      <c r="D84" s="12" t="s">
        <v>53</v>
      </c>
      <c r="E84" s="12"/>
      <c r="F84" s="1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</row>
    <row r="85" spans="1:133" ht="12.75">
      <c r="A85" s="11"/>
      <c r="B85" s="11"/>
      <c r="C85" s="11"/>
      <c r="D85" s="12" t="s">
        <v>54</v>
      </c>
      <c r="E85" s="12"/>
      <c r="F85" s="1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</row>
    <row r="86" spans="1:133" ht="12.75">
      <c r="A86" s="11"/>
      <c r="B86" s="11"/>
      <c r="C86" s="11"/>
      <c r="D86" s="12" t="s">
        <v>55</v>
      </c>
      <c r="E86" s="12"/>
      <c r="F86" s="1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</row>
    <row r="87" spans="1:133" ht="12.75">
      <c r="A87" s="11"/>
      <c r="B87" s="11"/>
      <c r="C87" s="11"/>
      <c r="D87" s="12" t="s">
        <v>56</v>
      </c>
      <c r="E87" s="12"/>
      <c r="F87" s="1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</row>
    <row r="88" spans="1:133" ht="12.75">
      <c r="A88" s="11"/>
      <c r="B88" s="11"/>
      <c r="C88" s="11"/>
      <c r="D88" s="102" t="s">
        <v>57</v>
      </c>
      <c r="E88" s="102"/>
      <c r="F88" s="10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</row>
    <row r="89" spans="1:133" ht="19.5" customHeight="1">
      <c r="A89" s="14" t="s">
        <v>8</v>
      </c>
      <c r="B89" s="15" t="s">
        <v>9</v>
      </c>
      <c r="C89" s="80"/>
      <c r="D89" s="57" t="s">
        <v>27</v>
      </c>
      <c r="E89" s="58" t="s">
        <v>9</v>
      </c>
      <c r="F89" s="59" t="s">
        <v>10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</row>
    <row r="90" spans="1:133" ht="12.75">
      <c r="A90" s="81" t="s">
        <v>12</v>
      </c>
      <c r="B90" s="82" t="s">
        <v>13</v>
      </c>
      <c r="C90" s="22" t="s">
        <v>10</v>
      </c>
      <c r="D90" s="64" t="s">
        <v>30</v>
      </c>
      <c r="E90" s="65" t="s">
        <v>13</v>
      </c>
      <c r="F90" s="66" t="s">
        <v>12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</row>
    <row r="91" spans="1:133" ht="19.5" customHeight="1">
      <c r="A91" s="103" t="s">
        <v>16</v>
      </c>
      <c r="B91" s="27" t="s">
        <v>17</v>
      </c>
      <c r="C91" s="104" t="s">
        <v>33</v>
      </c>
      <c r="D91" s="68" t="s">
        <v>33</v>
      </c>
      <c r="E91" s="69" t="s">
        <v>17</v>
      </c>
      <c r="F91" s="84" t="s">
        <v>16</v>
      </c>
      <c r="G91" s="2"/>
      <c r="H91" s="2"/>
      <c r="I91" s="2"/>
      <c r="J91" s="2" t="s">
        <v>58</v>
      </c>
      <c r="K91" s="2" t="s">
        <v>59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</row>
    <row r="92" spans="1:133" ht="19.5" customHeight="1">
      <c r="A92" s="106">
        <v>4000</v>
      </c>
      <c r="B92" s="107">
        <v>6</v>
      </c>
      <c r="C92" s="34">
        <f>(1/(2*PI()*A92*O35*B92))*1000000</f>
        <v>3.315727981081153</v>
      </c>
      <c r="D92" s="87">
        <v>3.158</v>
      </c>
      <c r="E92" s="88">
        <v>6</v>
      </c>
      <c r="F92" s="75">
        <f>SQRT(J92*K92)</f>
        <v>4198.637404622831</v>
      </c>
      <c r="G92" s="108">
        <f>SQRT(J92*K92)</f>
        <v>4198.637404622831</v>
      </c>
      <c r="H92" s="2"/>
      <c r="I92" s="2"/>
      <c r="J92" s="2">
        <f>E92/(2*PI()*(D94/1000)*P35)</f>
        <v>4197.493004621415</v>
      </c>
      <c r="K92" s="2">
        <f>1/(2*PI()*(D92/1000000)*O35*E92)</f>
        <v>4199.782116632239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</row>
    <row r="93" spans="1:133" ht="19.5" customHeight="1">
      <c r="A93" s="89"/>
      <c r="B93" s="90"/>
      <c r="C93" s="91" t="s">
        <v>37</v>
      </c>
      <c r="D93" s="92" t="s">
        <v>37</v>
      </c>
      <c r="E93" s="93"/>
      <c r="F93" s="9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</row>
    <row r="94" spans="1:133" ht="19.5" customHeight="1">
      <c r="A94" s="89"/>
      <c r="B94" s="90"/>
      <c r="C94" s="34">
        <f>(B92/(2*PI()*A92*P35))*1000</f>
        <v>0.47746482927568606</v>
      </c>
      <c r="D94" s="87">
        <v>0.455</v>
      </c>
      <c r="E94" s="109" t="s">
        <v>60</v>
      </c>
      <c r="F94" s="75">
        <f>AVERAGE(J92:K92)</f>
        <v>4198.637560626827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</row>
    <row r="95" spans="1:133" ht="12.75">
      <c r="A95" s="11"/>
      <c r="B95" s="11"/>
      <c r="C95" s="11"/>
      <c r="D95" s="47"/>
      <c r="E95" s="11"/>
      <c r="F95" s="4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</row>
    <row r="96" spans="1:133" ht="29.25">
      <c r="A96" s="114" t="s">
        <v>62</v>
      </c>
      <c r="B96" s="114"/>
      <c r="C96" s="114"/>
      <c r="D96" s="114"/>
      <c r="E96" s="114"/>
      <c r="F96" s="1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</row>
    <row r="97" spans="1:133" ht="17.25">
      <c r="A97" s="115" t="s">
        <v>3</v>
      </c>
      <c r="B97" s="115"/>
      <c r="C97" s="115"/>
      <c r="D97" s="116" t="s">
        <v>4</v>
      </c>
      <c r="E97" s="116"/>
      <c r="F97" s="11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</row>
    <row r="98" spans="1:133" ht="12.75">
      <c r="A98" s="11"/>
      <c r="B98" s="11"/>
      <c r="C98" s="11"/>
      <c r="D98" s="12"/>
      <c r="E98" s="12"/>
      <c r="F98" s="1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</row>
    <row r="99" spans="1:133" ht="12.75">
      <c r="A99" s="11"/>
      <c r="B99" s="11"/>
      <c r="C99" s="11"/>
      <c r="D99" s="12" t="s">
        <v>63</v>
      </c>
      <c r="E99" s="12"/>
      <c r="F99" s="1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</row>
    <row r="100" spans="1:133" ht="12.75">
      <c r="A100" s="11"/>
      <c r="B100" s="11"/>
      <c r="C100" s="11"/>
      <c r="D100" s="12" t="s">
        <v>64</v>
      </c>
      <c r="E100" s="12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</row>
    <row r="101" spans="1:133" ht="12.75">
      <c r="A101" s="11"/>
      <c r="B101" s="11"/>
      <c r="C101" s="11"/>
      <c r="D101" s="12" t="s">
        <v>65</v>
      </c>
      <c r="E101" s="12"/>
      <c r="F101" s="1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</row>
    <row r="102" spans="1:133" ht="12.75">
      <c r="A102" s="11"/>
      <c r="B102" s="11"/>
      <c r="C102" s="11"/>
      <c r="D102" s="12" t="s">
        <v>66</v>
      </c>
      <c r="E102" s="12"/>
      <c r="F102" s="1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</row>
    <row r="103" spans="1:133" ht="12.75">
      <c r="A103" s="11"/>
      <c r="B103" s="11"/>
      <c r="C103" s="11"/>
      <c r="D103" s="12"/>
      <c r="E103" s="12"/>
      <c r="F103" s="1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</row>
    <row r="104" spans="1:133" ht="12.75">
      <c r="A104" s="11"/>
      <c r="B104" s="11"/>
      <c r="C104" s="11"/>
      <c r="D104" s="117"/>
      <c r="E104" s="117"/>
      <c r="F104" s="11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</row>
    <row r="105" spans="1:133" ht="12.75">
      <c r="A105" s="11"/>
      <c r="B105" s="11"/>
      <c r="C105" s="11"/>
      <c r="D105" s="12"/>
      <c r="E105" s="12"/>
      <c r="F105" s="1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</row>
    <row r="106" spans="1:133" ht="12.75">
      <c r="A106" s="11"/>
      <c r="B106" s="11"/>
      <c r="C106" s="11"/>
      <c r="D106" s="12"/>
      <c r="E106" s="12"/>
      <c r="F106" s="12"/>
      <c r="G106" s="2"/>
      <c r="H106" s="2"/>
      <c r="I106" s="2"/>
      <c r="J106" s="11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</row>
    <row r="107" spans="1:133" ht="12.75">
      <c r="A107" s="11"/>
      <c r="B107" s="11"/>
      <c r="C107" s="11"/>
      <c r="D107" s="12"/>
      <c r="E107" s="12"/>
      <c r="F107" s="12"/>
      <c r="G107" s="2"/>
      <c r="H107" s="2"/>
      <c r="I107" s="2"/>
      <c r="J107" s="2" t="s">
        <v>67</v>
      </c>
      <c r="K107" s="2"/>
      <c r="L107" s="3" t="s">
        <v>39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</row>
    <row r="108" spans="1:133" ht="12.75">
      <c r="A108" s="11"/>
      <c r="B108" s="11"/>
      <c r="C108" s="11"/>
      <c r="D108" s="12"/>
      <c r="E108" s="12"/>
      <c r="F108" s="12"/>
      <c r="G108" s="2"/>
      <c r="H108" s="2"/>
      <c r="I108" s="2"/>
      <c r="J108" s="2">
        <f>(O35*B113)/(2*PI()*(A115-A113))</f>
        <v>0.001497928876159015</v>
      </c>
      <c r="K108" s="2"/>
      <c r="L108" s="3" t="s">
        <v>40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</row>
    <row r="109" spans="1:133" ht="12.75">
      <c r="A109" s="11"/>
      <c r="B109" s="11"/>
      <c r="C109" s="11"/>
      <c r="D109" s="12"/>
      <c r="E109" s="12"/>
      <c r="F109" s="12"/>
      <c r="G109" s="2"/>
      <c r="H109" s="2"/>
      <c r="I109" s="2"/>
      <c r="J109" s="2" t="s">
        <v>29</v>
      </c>
      <c r="K109" s="118" t="s">
        <v>68</v>
      </c>
      <c r="L109" s="99" t="s">
        <v>43</v>
      </c>
      <c r="M109" s="2">
        <f>(O35*E113)/(2*PI()*(D113/1000))</f>
        <v>3381.7783392700208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</row>
    <row r="110" spans="1:133" ht="19.5" customHeight="1">
      <c r="A110" s="14" t="s">
        <v>8</v>
      </c>
      <c r="B110" s="15" t="s">
        <v>9</v>
      </c>
      <c r="C110" s="80"/>
      <c r="D110" s="57" t="s">
        <v>27</v>
      </c>
      <c r="E110" s="58" t="s">
        <v>9</v>
      </c>
      <c r="F110" s="59" t="s">
        <v>28</v>
      </c>
      <c r="G110" s="2"/>
      <c r="H110" s="2"/>
      <c r="I110" s="2"/>
      <c r="J110" s="2">
        <f>SQRT(A115*A113)</f>
        <v>774.5966692414834</v>
      </c>
      <c r="K110" s="118" t="s">
        <v>69</v>
      </c>
      <c r="L110" s="99" t="s">
        <v>44</v>
      </c>
      <c r="M110" s="2">
        <f>1/(4*POWER(PI(),2)*(D115/1000000)*(D113/1000))</f>
        <v>593628.9409355582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</row>
    <row r="111" spans="1:133" ht="12.75">
      <c r="A111" s="81" t="s">
        <v>12</v>
      </c>
      <c r="B111" s="82" t="s">
        <v>13</v>
      </c>
      <c r="C111" s="22" t="s">
        <v>10</v>
      </c>
      <c r="D111" s="64" t="s">
        <v>30</v>
      </c>
      <c r="E111" s="65" t="s">
        <v>13</v>
      </c>
      <c r="F111" s="66" t="s">
        <v>31</v>
      </c>
      <c r="G111" s="2"/>
      <c r="H111" s="2"/>
      <c r="I111" s="2"/>
      <c r="J111" s="2" t="s">
        <v>70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</row>
    <row r="112" spans="1:133" ht="19.5" customHeight="1">
      <c r="A112" s="83" t="s">
        <v>32</v>
      </c>
      <c r="B112" s="27" t="s">
        <v>17</v>
      </c>
      <c r="C112" s="104" t="s">
        <v>71</v>
      </c>
      <c r="D112" s="68" t="s">
        <v>71</v>
      </c>
      <c r="E112" s="69" t="s">
        <v>17</v>
      </c>
      <c r="F112" s="84" t="s">
        <v>34</v>
      </c>
      <c r="G112" s="2"/>
      <c r="H112" s="2"/>
      <c r="I112" s="2"/>
      <c r="J112" s="2">
        <f>P35/(2*PI()*(A115-A113)*B113)</f>
        <v>5.851284672496153E-06</v>
      </c>
      <c r="K112" s="2"/>
      <c r="L112" s="3" t="s">
        <v>45</v>
      </c>
      <c r="M112" s="3" t="s">
        <v>46</v>
      </c>
      <c r="N112" s="2">
        <f>POWER(M109,2)+(4*M110)</f>
        <v>13810940.499698132</v>
      </c>
      <c r="O112" s="118" t="s">
        <v>72</v>
      </c>
      <c r="P112" s="2">
        <f>(M109+SQRT(N112))/2</f>
        <v>3549.042856746099</v>
      </c>
      <c r="Q112" s="118" t="s">
        <v>73</v>
      </c>
      <c r="R112" s="2">
        <f>(M109-SQRT(N112))/2</f>
        <v>-167.26451747607825</v>
      </c>
      <c r="S112" s="2"/>
      <c r="T112" s="2"/>
      <c r="U112" s="2"/>
      <c r="V112" s="2"/>
      <c r="W112" s="2"/>
      <c r="X112" s="2"/>
      <c r="Y112" s="2"/>
      <c r="Z112" s="2"/>
      <c r="AA112" s="2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</row>
    <row r="113" spans="1:133" ht="19.5" customHeight="1">
      <c r="A113" s="106">
        <v>300</v>
      </c>
      <c r="B113" s="119">
        <v>8</v>
      </c>
      <c r="C113" s="34">
        <f>J108*1000</f>
        <v>1.497928876159015</v>
      </c>
      <c r="D113" s="87">
        <v>0.753</v>
      </c>
      <c r="E113" s="88">
        <v>8</v>
      </c>
      <c r="F113" s="75">
        <f>AVERAGE(P113,P121)</f>
        <v>311.66929809714236</v>
      </c>
      <c r="G113" s="2">
        <f>SQRT(P113*P121)</f>
        <v>276.19741256961066</v>
      </c>
      <c r="H113" s="2"/>
      <c r="I113" s="2"/>
      <c r="J113" s="2"/>
      <c r="K113" s="2"/>
      <c r="L113" s="3" t="s">
        <v>49</v>
      </c>
      <c r="M113" s="3" t="s">
        <v>46</v>
      </c>
      <c r="N113" s="2">
        <f>POWER(M109,2)+(4*M110)</f>
        <v>13810940.499698132</v>
      </c>
      <c r="O113" s="118" t="s">
        <v>74</v>
      </c>
      <c r="P113" s="2">
        <f>(-M109+SQRT(N113))/2</f>
        <v>167.26451747607825</v>
      </c>
      <c r="Q113" s="118" t="s">
        <v>75</v>
      </c>
      <c r="R113" s="2">
        <f>(-M109-SQRT(N113))/2</f>
        <v>-3549.042856746099</v>
      </c>
      <c r="S113" s="2"/>
      <c r="T113" s="2"/>
      <c r="U113" s="2"/>
      <c r="V113" s="2"/>
      <c r="W113" s="2"/>
      <c r="X113" s="2"/>
      <c r="Y113" s="2"/>
      <c r="Z113" s="2"/>
      <c r="AA113" s="2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</row>
    <row r="114" spans="1:133" ht="19.5" customHeight="1">
      <c r="A114" s="89" t="s">
        <v>36</v>
      </c>
      <c r="B114" s="120"/>
      <c r="C114" s="91" t="s">
        <v>76</v>
      </c>
      <c r="D114" s="92" t="s">
        <v>76</v>
      </c>
      <c r="E114" s="93"/>
      <c r="F114" s="94" t="s">
        <v>38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</row>
    <row r="115" spans="1:133" ht="19.5" customHeight="1">
      <c r="A115" s="106">
        <v>2000</v>
      </c>
      <c r="B115" s="120"/>
      <c r="C115" s="34">
        <f>(1/(4*POWER(PI(),2)*POWER(J110,2)*J108))*1000000</f>
        <v>28.183687839189798</v>
      </c>
      <c r="D115" s="87">
        <v>56.667</v>
      </c>
      <c r="E115" s="93"/>
      <c r="F115" s="75">
        <f>AVERAGE(P112,P120)</f>
        <v>2425.3032167012752</v>
      </c>
      <c r="G115" s="2">
        <f>SQRT(P112*P120)</f>
        <v>2149.256828378936</v>
      </c>
      <c r="H115" s="2"/>
      <c r="I115" s="2"/>
      <c r="J115" s="2"/>
      <c r="K115" s="2"/>
      <c r="L115" s="3" t="s">
        <v>39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</row>
    <row r="116" spans="1:133" ht="19.5" customHeight="1">
      <c r="A116" s="89"/>
      <c r="B116" s="120"/>
      <c r="C116" s="91" t="s">
        <v>77</v>
      </c>
      <c r="D116" s="92" t="s">
        <v>77</v>
      </c>
      <c r="E116" s="93"/>
      <c r="F116" s="121"/>
      <c r="G116" s="2"/>
      <c r="H116" s="2"/>
      <c r="I116" s="2"/>
      <c r="J116" s="2"/>
      <c r="K116" s="2"/>
      <c r="L116" s="3" t="s">
        <v>40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</row>
    <row r="117" spans="1:133" ht="19.5" customHeight="1">
      <c r="A117" s="89"/>
      <c r="B117" s="120"/>
      <c r="C117" s="122">
        <f>(1/(4*POWER(PI(),2)*POWER(J110,2)*J112))*1000</f>
        <v>7.215024086832589</v>
      </c>
      <c r="D117" s="87">
        <v>3.627</v>
      </c>
      <c r="E117" s="93"/>
      <c r="F117" s="121"/>
      <c r="G117" s="2"/>
      <c r="H117" s="2"/>
      <c r="I117" s="2"/>
      <c r="J117" s="2"/>
      <c r="K117" s="118" t="s">
        <v>78</v>
      </c>
      <c r="L117" s="99" t="s">
        <v>43</v>
      </c>
      <c r="M117" s="2">
        <f>P35/(2*PI()*(D119/1000000)*E113)</f>
        <v>845.4894979382456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</row>
    <row r="118" spans="1:133" ht="19.5" customHeight="1">
      <c r="A118" s="89"/>
      <c r="B118" s="120"/>
      <c r="C118" s="91" t="s">
        <v>79</v>
      </c>
      <c r="D118" s="92" t="s">
        <v>79</v>
      </c>
      <c r="E118" s="93"/>
      <c r="F118" s="121"/>
      <c r="G118" s="2"/>
      <c r="H118" s="2"/>
      <c r="I118" s="2"/>
      <c r="J118" s="2"/>
      <c r="K118" s="118" t="s">
        <v>80</v>
      </c>
      <c r="L118" s="99" t="s">
        <v>44</v>
      </c>
      <c r="M118" s="2">
        <f>1/(4*POWER(PI(),2)*(D117/1000)*(D119/1000000))</f>
        <v>593609.4091167649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</row>
    <row r="119" spans="1:133" ht="19.5" customHeight="1">
      <c r="A119" s="89"/>
      <c r="B119" s="120"/>
      <c r="C119" s="122">
        <f>J112*1000000</f>
        <v>5.851284672496153</v>
      </c>
      <c r="D119" s="87">
        <v>11.765</v>
      </c>
      <c r="E119" s="93"/>
      <c r="F119" s="12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</row>
    <row r="120" spans="1:133" ht="12.75">
      <c r="A120" s="10"/>
      <c r="B120" s="11"/>
      <c r="C120" s="11"/>
      <c r="D120" s="47"/>
      <c r="E120" s="11"/>
      <c r="F120" s="49"/>
      <c r="G120" s="2"/>
      <c r="H120" s="2"/>
      <c r="I120" s="2"/>
      <c r="J120" s="2"/>
      <c r="K120" s="2"/>
      <c r="L120" s="3" t="s">
        <v>45</v>
      </c>
      <c r="M120" s="3" t="s">
        <v>46</v>
      </c>
      <c r="N120" s="2">
        <f>POWER(M117,2)+(4*M118)</f>
        <v>3089290.1275909264</v>
      </c>
      <c r="O120" s="118" t="s">
        <v>72</v>
      </c>
      <c r="P120" s="2">
        <f>(M117+SQRT(N120))/2</f>
        <v>1301.563576656452</v>
      </c>
      <c r="Q120" s="118" t="s">
        <v>73</v>
      </c>
      <c r="R120" s="2">
        <f>(M117-SQRT(N120))/2</f>
        <v>-456.0740787182064</v>
      </c>
      <c r="S120" s="2"/>
      <c r="T120" s="2"/>
      <c r="U120" s="2"/>
      <c r="V120" s="2"/>
      <c r="W120" s="2"/>
      <c r="X120" s="2"/>
      <c r="Y120" s="2"/>
      <c r="Z120" s="2"/>
      <c r="AA120" s="2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</row>
    <row r="121" spans="1:133" ht="29.25">
      <c r="A121" s="123" t="s">
        <v>81</v>
      </c>
      <c r="B121" s="123"/>
      <c r="C121" s="123"/>
      <c r="D121" s="123"/>
      <c r="E121" s="123"/>
      <c r="F121" s="123"/>
      <c r="G121" s="2"/>
      <c r="H121" s="2"/>
      <c r="I121" s="2"/>
      <c r="J121" s="2"/>
      <c r="K121" s="2"/>
      <c r="L121" s="3" t="s">
        <v>49</v>
      </c>
      <c r="M121" s="3" t="s">
        <v>46</v>
      </c>
      <c r="N121" s="2">
        <f>POWER(M117,2)+(4*M118)</f>
        <v>3089290.1275909264</v>
      </c>
      <c r="O121" s="118" t="s">
        <v>74</v>
      </c>
      <c r="P121" s="2">
        <f>(-M117+SQRT(N121))/2</f>
        <v>456.0740787182064</v>
      </c>
      <c r="Q121" s="118" t="s">
        <v>75</v>
      </c>
      <c r="R121" s="2">
        <f>(-M117-SQRT(N121))/2</f>
        <v>-1301.563576656452</v>
      </c>
      <c r="S121" s="2"/>
      <c r="T121" s="2"/>
      <c r="U121" s="2"/>
      <c r="V121" s="2"/>
      <c r="W121" s="2"/>
      <c r="X121" s="2"/>
      <c r="Y121" s="2"/>
      <c r="Z121" s="2"/>
      <c r="AA121" s="2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</row>
    <row r="122" spans="1:133" ht="17.25">
      <c r="A122" s="124" t="s">
        <v>3</v>
      </c>
      <c r="B122" s="124"/>
      <c r="C122" s="124"/>
      <c r="D122" s="125" t="s">
        <v>4</v>
      </c>
      <c r="E122" s="125"/>
      <c r="F122" s="12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</row>
    <row r="123" spans="1:133" ht="12.75">
      <c r="A123" s="10"/>
      <c r="B123" s="11"/>
      <c r="C123" s="11"/>
      <c r="D123" s="47"/>
      <c r="E123" s="11"/>
      <c r="F123" s="4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</row>
    <row r="124" spans="1:133" ht="12.75">
      <c r="A124" s="10"/>
      <c r="B124" s="11"/>
      <c r="C124" s="11"/>
      <c r="D124" s="12" t="s">
        <v>63</v>
      </c>
      <c r="E124" s="12"/>
      <c r="F124" s="1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</row>
    <row r="125" spans="1:133" ht="12.75">
      <c r="A125" s="10"/>
      <c r="B125" s="11"/>
      <c r="C125" s="11"/>
      <c r="D125" s="12" t="s">
        <v>64</v>
      </c>
      <c r="E125" s="12"/>
      <c r="F125" s="1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</row>
    <row r="126" spans="1:133" ht="12.75">
      <c r="A126" s="10"/>
      <c r="B126" s="11"/>
      <c r="C126" s="11"/>
      <c r="D126" s="12" t="s">
        <v>65</v>
      </c>
      <c r="E126" s="12"/>
      <c r="F126" s="1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</row>
    <row r="127" spans="1:133" ht="12.75">
      <c r="A127" s="10"/>
      <c r="B127" s="11"/>
      <c r="C127" s="11"/>
      <c r="D127" s="12" t="s">
        <v>66</v>
      </c>
      <c r="E127" s="12"/>
      <c r="F127" s="1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</row>
    <row r="128" spans="1:133" ht="12.75">
      <c r="A128" s="10"/>
      <c r="B128" s="11"/>
      <c r="C128" s="11"/>
      <c r="D128" s="47"/>
      <c r="E128" s="11"/>
      <c r="F128" s="4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</row>
    <row r="129" spans="1:133" ht="12.75">
      <c r="A129" s="10"/>
      <c r="B129" s="11"/>
      <c r="C129" s="11"/>
      <c r="D129" s="47"/>
      <c r="E129" s="11"/>
      <c r="F129" s="49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</row>
    <row r="130" spans="1:133" ht="12.75">
      <c r="A130" s="10"/>
      <c r="B130" s="11"/>
      <c r="C130" s="11"/>
      <c r="D130" s="47"/>
      <c r="E130" s="11"/>
      <c r="F130" s="4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</row>
    <row r="131" spans="1:133" ht="12.75">
      <c r="A131" s="10"/>
      <c r="B131" s="11"/>
      <c r="C131" s="11"/>
      <c r="D131" s="47"/>
      <c r="E131" s="11"/>
      <c r="F131" s="4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</row>
    <row r="132" spans="1:133" ht="12.75">
      <c r="A132" s="10"/>
      <c r="B132" s="11"/>
      <c r="C132" s="11"/>
      <c r="D132" s="47"/>
      <c r="E132" s="11"/>
      <c r="F132" s="4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</row>
    <row r="133" spans="1:133" ht="12.75">
      <c r="A133" s="10"/>
      <c r="B133" s="11"/>
      <c r="C133" s="11"/>
      <c r="D133" s="47"/>
      <c r="E133" s="11"/>
      <c r="F133" s="49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</row>
    <row r="134" spans="1:133" ht="19.5" customHeight="1">
      <c r="A134" s="14" t="s">
        <v>8</v>
      </c>
      <c r="B134" s="15" t="s">
        <v>9</v>
      </c>
      <c r="C134" s="80"/>
      <c r="D134" s="57" t="s">
        <v>27</v>
      </c>
      <c r="E134" s="58" t="s">
        <v>9</v>
      </c>
      <c r="F134" s="59" t="s">
        <v>10</v>
      </c>
      <c r="G134" s="2"/>
      <c r="H134" s="2"/>
      <c r="I134" s="2"/>
      <c r="J134" s="2" t="s">
        <v>82</v>
      </c>
      <c r="K134" s="2">
        <f>(O36*E137)/(2*PI()*(D137/1000))</f>
        <v>499.96317201642506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</row>
    <row r="135" spans="1:133" ht="12.75">
      <c r="A135" s="81" t="s">
        <v>12</v>
      </c>
      <c r="B135" s="82" t="s">
        <v>13</v>
      </c>
      <c r="C135" s="22" t="s">
        <v>10</v>
      </c>
      <c r="D135" s="64" t="s">
        <v>30</v>
      </c>
      <c r="E135" s="65" t="s">
        <v>13</v>
      </c>
      <c r="F135" s="66" t="s">
        <v>12</v>
      </c>
      <c r="G135" s="2"/>
      <c r="H135" s="2"/>
      <c r="I135" s="2"/>
      <c r="J135" s="2" t="s">
        <v>83</v>
      </c>
      <c r="K135" s="2">
        <f>(Q36*E137)/(2*PI()*(D139/1000))</f>
        <v>500.094086698807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</row>
    <row r="136" spans="1:133" ht="19.5" customHeight="1">
      <c r="A136" s="103" t="s">
        <v>16</v>
      </c>
      <c r="B136" s="27" t="s">
        <v>17</v>
      </c>
      <c r="C136" s="104" t="s">
        <v>71</v>
      </c>
      <c r="D136" s="68" t="s">
        <v>71</v>
      </c>
      <c r="E136" s="69" t="s">
        <v>17</v>
      </c>
      <c r="F136" s="84" t="s">
        <v>16</v>
      </c>
      <c r="G136" s="2"/>
      <c r="H136" s="2"/>
      <c r="I136" s="2"/>
      <c r="J136" s="2" t="s">
        <v>84</v>
      </c>
      <c r="K136" s="2">
        <f>P36/(2*PI()*(D141/1000000)*E137)</f>
        <v>499.99542965561346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</row>
    <row r="137" spans="1:133" ht="19.5" customHeight="1">
      <c r="A137" s="106">
        <v>500</v>
      </c>
      <c r="B137" s="107">
        <v>8</v>
      </c>
      <c r="C137" s="34">
        <f>((O36*B137)/(2*PI()*A137))*1000</f>
        <v>3.8197186342054885</v>
      </c>
      <c r="D137" s="87">
        <v>3.82</v>
      </c>
      <c r="E137" s="88">
        <v>8</v>
      </c>
      <c r="F137" s="75">
        <f>AVERAGE(K134:K136)</f>
        <v>500.01756279028183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</row>
    <row r="138" spans="1:133" ht="19.5" customHeight="1">
      <c r="A138" s="89"/>
      <c r="B138" s="90"/>
      <c r="C138" s="91" t="s">
        <v>77</v>
      </c>
      <c r="D138" s="92" t="s">
        <v>77</v>
      </c>
      <c r="E138" s="93"/>
      <c r="F138" s="12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</row>
    <row r="139" spans="1:133" ht="19.5" customHeight="1">
      <c r="A139" s="89"/>
      <c r="B139" s="90"/>
      <c r="C139" s="34">
        <f>((Q36*B137)/(2*PI()*A137))*1000</f>
        <v>1.2732395447351628</v>
      </c>
      <c r="D139" s="87">
        <v>1.2730000000000001</v>
      </c>
      <c r="E139" s="93"/>
      <c r="F139" s="12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</row>
    <row r="140" spans="1:133" ht="19.5" customHeight="1">
      <c r="A140" s="89"/>
      <c r="B140" s="90"/>
      <c r="C140" s="91" t="s">
        <v>33</v>
      </c>
      <c r="D140" s="92" t="s">
        <v>33</v>
      </c>
      <c r="E140" s="93"/>
      <c r="F140" s="12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</row>
    <row r="141" spans="1:133" ht="19.5" customHeight="1">
      <c r="A141" s="89"/>
      <c r="B141" s="90"/>
      <c r="C141" s="34">
        <f>(P36/(2*PI()*A137*B137))*1000000</f>
        <v>53.051515068179214</v>
      </c>
      <c r="D141" s="87">
        <v>53.052</v>
      </c>
      <c r="E141" s="93"/>
      <c r="F141" s="12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</row>
    <row r="142" spans="1:133" ht="12.75">
      <c r="A142" s="10"/>
      <c r="B142" s="11"/>
      <c r="C142" s="11"/>
      <c r="D142" s="47"/>
      <c r="E142" s="11"/>
      <c r="F142" s="4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</row>
    <row r="143" spans="1:133" ht="29.25">
      <c r="A143" s="126" t="s">
        <v>85</v>
      </c>
      <c r="B143" s="126"/>
      <c r="C143" s="126"/>
      <c r="D143" s="126"/>
      <c r="E143" s="126"/>
      <c r="F143" s="12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</row>
    <row r="144" spans="1:133" ht="17.25">
      <c r="A144" s="127" t="s">
        <v>3</v>
      </c>
      <c r="B144" s="127"/>
      <c r="C144" s="127"/>
      <c r="D144" s="128" t="s">
        <v>4</v>
      </c>
      <c r="E144" s="128"/>
      <c r="F144" s="128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</row>
    <row r="145" spans="1:133" ht="12.75">
      <c r="A145" s="10"/>
      <c r="B145" s="11"/>
      <c r="C145" s="11"/>
      <c r="D145" s="47"/>
      <c r="E145" s="11"/>
      <c r="F145" s="4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</row>
    <row r="146" spans="1:133" ht="12.75">
      <c r="A146" s="10"/>
      <c r="B146" s="11"/>
      <c r="C146" s="11"/>
      <c r="D146" s="12" t="s">
        <v>63</v>
      </c>
      <c r="E146" s="12"/>
      <c r="F146" s="1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</row>
    <row r="147" spans="1:133" ht="12.75">
      <c r="A147" s="10"/>
      <c r="B147" s="11"/>
      <c r="C147" s="11"/>
      <c r="D147" s="12" t="s">
        <v>64</v>
      </c>
      <c r="E147" s="12"/>
      <c r="F147" s="1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</row>
    <row r="148" spans="1:133" ht="12.75">
      <c r="A148" s="10"/>
      <c r="B148" s="11"/>
      <c r="C148" s="11"/>
      <c r="D148" s="12" t="s">
        <v>65</v>
      </c>
      <c r="E148" s="12"/>
      <c r="F148" s="1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</row>
    <row r="149" spans="1:133" ht="12.75">
      <c r="A149" s="10"/>
      <c r="B149" s="11"/>
      <c r="C149" s="11"/>
      <c r="D149" s="12" t="s">
        <v>66</v>
      </c>
      <c r="E149" s="12"/>
      <c r="F149" s="1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</row>
    <row r="150" spans="1:133" ht="12.75">
      <c r="A150" s="10"/>
      <c r="B150" s="11"/>
      <c r="C150" s="11"/>
      <c r="D150" s="47"/>
      <c r="E150" s="11"/>
      <c r="F150" s="4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</row>
    <row r="151" spans="1:133" ht="12.75">
      <c r="A151" s="10"/>
      <c r="B151" s="11"/>
      <c r="C151" s="11"/>
      <c r="D151" s="47"/>
      <c r="E151" s="11"/>
      <c r="F151" s="49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</row>
    <row r="152" spans="1:133" ht="12.75">
      <c r="A152" s="10"/>
      <c r="B152" s="11"/>
      <c r="C152" s="11"/>
      <c r="D152" s="47"/>
      <c r="E152" s="11"/>
      <c r="F152" s="4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</row>
    <row r="153" spans="1:133" ht="12.75">
      <c r="A153" s="10"/>
      <c r="B153" s="11"/>
      <c r="C153" s="11"/>
      <c r="D153" s="47"/>
      <c r="E153" s="11"/>
      <c r="F153" s="49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</row>
    <row r="154" spans="1:133" ht="12.75">
      <c r="A154" s="10"/>
      <c r="B154" s="11"/>
      <c r="C154" s="11"/>
      <c r="D154" s="47"/>
      <c r="E154" s="11"/>
      <c r="F154" s="49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</row>
    <row r="155" spans="1:133" ht="12.75">
      <c r="A155" s="10"/>
      <c r="B155" s="11"/>
      <c r="C155" s="11"/>
      <c r="D155" s="47"/>
      <c r="E155" s="11"/>
      <c r="F155" s="4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</row>
    <row r="156" spans="1:133" ht="19.5" customHeight="1">
      <c r="A156" s="14" t="s">
        <v>8</v>
      </c>
      <c r="B156" s="15" t="s">
        <v>9</v>
      </c>
      <c r="C156" s="80"/>
      <c r="D156" s="57" t="s">
        <v>27</v>
      </c>
      <c r="E156" s="58" t="s">
        <v>9</v>
      </c>
      <c r="F156" s="59" t="s">
        <v>10</v>
      </c>
      <c r="G156" s="2"/>
      <c r="H156" s="2"/>
      <c r="I156" s="2"/>
      <c r="J156" s="2" t="s">
        <v>86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</row>
    <row r="157" spans="1:133" ht="12.75">
      <c r="A157" s="81" t="s">
        <v>12</v>
      </c>
      <c r="B157" s="82" t="s">
        <v>13</v>
      </c>
      <c r="C157" s="22" t="s">
        <v>10</v>
      </c>
      <c r="D157" s="64" t="s">
        <v>30</v>
      </c>
      <c r="E157" s="65" t="s">
        <v>13</v>
      </c>
      <c r="F157" s="66" t="s">
        <v>12</v>
      </c>
      <c r="G157" s="2"/>
      <c r="H157" s="2"/>
      <c r="I157" s="2"/>
      <c r="J157" s="2">
        <f>1/(2*PI()*O36*(D159/1000000)*E159)</f>
        <v>3999.9734371784994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</row>
    <row r="158" spans="1:133" ht="19.5" customHeight="1">
      <c r="A158" s="103" t="s">
        <v>16</v>
      </c>
      <c r="B158" s="27" t="s">
        <v>17</v>
      </c>
      <c r="C158" s="104" t="s">
        <v>76</v>
      </c>
      <c r="D158" s="68" t="s">
        <v>76</v>
      </c>
      <c r="E158" s="69" t="s">
        <v>17</v>
      </c>
      <c r="F158" s="84" t="s">
        <v>16</v>
      </c>
      <c r="G158" s="2"/>
      <c r="H158" s="2"/>
      <c r="I158" s="2"/>
      <c r="J158" s="2" t="s">
        <v>87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</row>
    <row r="159" spans="1:133" ht="19.5" customHeight="1">
      <c r="A159" s="106">
        <v>4000</v>
      </c>
      <c r="B159" s="107">
        <v>6</v>
      </c>
      <c r="C159" s="34">
        <f>(1/(2*PI()*A159*O36*B159))*1000000</f>
        <v>4.420970641441538</v>
      </c>
      <c r="D159" s="87">
        <v>4.421</v>
      </c>
      <c r="E159" s="88">
        <v>6</v>
      </c>
      <c r="F159" s="75">
        <f>AVERAGE(J157,J159,J161)</f>
        <v>4000.352932813814</v>
      </c>
      <c r="G159" s="2"/>
      <c r="H159" s="2"/>
      <c r="I159" s="2"/>
      <c r="J159" s="2">
        <f>1/(2*PI()*Q36*(D161/1000000)*E159)</f>
        <v>3999.9734371785003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</row>
    <row r="160" spans="1:133" ht="19.5" customHeight="1">
      <c r="A160" s="89"/>
      <c r="B160" s="129"/>
      <c r="C160" s="130" t="s">
        <v>79</v>
      </c>
      <c r="D160" s="92" t="s">
        <v>79</v>
      </c>
      <c r="E160" s="131"/>
      <c r="F160" s="132"/>
      <c r="G160" s="4"/>
      <c r="H160" s="4"/>
      <c r="I160" s="4"/>
      <c r="J160" s="4" t="s">
        <v>88</v>
      </c>
      <c r="K160" s="4"/>
      <c r="L160" s="4"/>
      <c r="M160" s="4"/>
      <c r="N160" s="2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</row>
    <row r="161" spans="1:133" ht="19.5" customHeight="1">
      <c r="A161" s="133"/>
      <c r="B161" s="129"/>
      <c r="C161" s="122">
        <f>(1/(2*PI()*A159*Q36*B159))*1000000</f>
        <v>13.262911924324612</v>
      </c>
      <c r="D161" s="87">
        <v>13.263</v>
      </c>
      <c r="E161" s="131"/>
      <c r="F161" s="132"/>
      <c r="G161" s="4"/>
      <c r="H161" s="4"/>
      <c r="I161" s="4"/>
      <c r="J161" s="4">
        <f>E159/(2*PI()*P36*(D163/1000))</f>
        <v>4001.111924084442</v>
      </c>
      <c r="K161" s="4"/>
      <c r="L161" s="4"/>
      <c r="M161" s="4"/>
      <c r="N161" s="2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</row>
    <row r="162" spans="1:133" ht="19.5" customHeight="1">
      <c r="A162" s="133"/>
      <c r="B162" s="129"/>
      <c r="C162" s="130" t="s">
        <v>37</v>
      </c>
      <c r="D162" s="92" t="s">
        <v>37</v>
      </c>
      <c r="E162" s="131"/>
      <c r="F162" s="13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</row>
    <row r="163" spans="1:133" ht="19.5" customHeight="1">
      <c r="A163" s="133"/>
      <c r="B163" s="129"/>
      <c r="C163" s="122">
        <f>(B159/(2*PI()*A159*P36))*1000</f>
        <v>0.17904975860277877</v>
      </c>
      <c r="D163" s="87">
        <v>0.179</v>
      </c>
      <c r="E163" s="131"/>
      <c r="F163" s="13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</row>
    <row r="164" spans="1:133" ht="12.75">
      <c r="A164" s="134"/>
      <c r="B164" s="134"/>
      <c r="C164" s="134"/>
      <c r="D164" s="134"/>
      <c r="E164" s="134"/>
      <c r="F164" s="13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</row>
    <row r="165" spans="1:133" ht="29.25">
      <c r="A165" s="135" t="s">
        <v>89</v>
      </c>
      <c r="B165" s="135"/>
      <c r="C165" s="135"/>
      <c r="D165" s="135"/>
      <c r="E165" s="135"/>
      <c r="F165" s="13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</row>
    <row r="166" spans="1:133" ht="12.75">
      <c r="A166" s="136"/>
      <c r="B166" s="137"/>
      <c r="C166" s="137"/>
      <c r="D166" s="138"/>
      <c r="E166" s="137"/>
      <c r="F166" s="139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</row>
    <row r="167" spans="1:133" ht="12.75">
      <c r="A167" s="136"/>
      <c r="B167" s="137"/>
      <c r="C167" s="137"/>
      <c r="D167" s="138"/>
      <c r="E167" s="137"/>
      <c r="F167" s="139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</row>
    <row r="168" spans="1:133" ht="12.75">
      <c r="A168" s="136"/>
      <c r="B168" s="137"/>
      <c r="C168" s="137"/>
      <c r="D168" s="138"/>
      <c r="E168" s="137"/>
      <c r="F168" s="139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</row>
    <row r="169" spans="1:133" ht="12.75">
      <c r="A169" s="136"/>
      <c r="B169" s="137"/>
      <c r="C169" s="137"/>
      <c r="D169" s="138"/>
      <c r="E169" s="137"/>
      <c r="F169" s="139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</row>
    <row r="170" spans="1:133" ht="12.75">
      <c r="A170" s="136"/>
      <c r="B170" s="137"/>
      <c r="C170" s="137"/>
      <c r="D170" s="138"/>
      <c r="E170" s="137"/>
      <c r="F170" s="139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</row>
    <row r="171" spans="1:133" ht="12.75">
      <c r="A171" s="136"/>
      <c r="B171" s="137"/>
      <c r="C171" s="137"/>
      <c r="D171" s="138"/>
      <c r="E171" s="137"/>
      <c r="F171" s="139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</row>
    <row r="172" spans="1:133" ht="12.75">
      <c r="A172" s="136"/>
      <c r="B172" s="137"/>
      <c r="C172" s="137"/>
      <c r="D172" s="138"/>
      <c r="E172" s="137"/>
      <c r="F172" s="139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</row>
    <row r="173" spans="1:133" ht="12.75">
      <c r="A173" s="136"/>
      <c r="B173" s="137"/>
      <c r="C173" s="137"/>
      <c r="D173" s="138"/>
      <c r="E173" s="137"/>
      <c r="F173" s="13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</row>
    <row r="174" spans="1:133" ht="12.75">
      <c r="A174" s="136"/>
      <c r="B174" s="137"/>
      <c r="C174" s="137"/>
      <c r="D174" s="138"/>
      <c r="E174" s="137"/>
      <c r="F174" s="13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</row>
    <row r="175" spans="1:133" ht="12.75">
      <c r="A175" s="136"/>
      <c r="B175" s="137"/>
      <c r="C175" s="137"/>
      <c r="D175" s="138"/>
      <c r="E175" s="137"/>
      <c r="F175" s="139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</row>
    <row r="176" spans="1:133" ht="12.75">
      <c r="A176" s="136"/>
      <c r="B176" s="137"/>
      <c r="C176" s="137"/>
      <c r="D176" s="138"/>
      <c r="E176" s="137"/>
      <c r="F176" s="139"/>
      <c r="G176" s="4"/>
      <c r="H176" s="4"/>
      <c r="I176" s="4"/>
      <c r="J176" s="4" t="s">
        <v>29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</row>
    <row r="177" spans="1:133" ht="12.75">
      <c r="A177" s="136"/>
      <c r="B177" s="137"/>
      <c r="C177" s="137"/>
      <c r="D177" s="138"/>
      <c r="E177" s="137"/>
      <c r="F177" s="139"/>
      <c r="G177" s="4"/>
      <c r="H177" s="4"/>
      <c r="I177" s="4"/>
      <c r="J177" s="4">
        <f>SQRT(A183*A181)</f>
        <v>547.7225575051662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</row>
    <row r="178" spans="1:133" ht="19.5" customHeight="1">
      <c r="A178" s="14" t="s">
        <v>8</v>
      </c>
      <c r="B178" s="15" t="s">
        <v>9</v>
      </c>
      <c r="C178" s="140" t="s">
        <v>10</v>
      </c>
      <c r="D178" s="140"/>
      <c r="E178" s="140"/>
      <c r="F178" s="141"/>
      <c r="G178" s="4"/>
      <c r="H178" s="4"/>
      <c r="I178" s="4"/>
      <c r="J178" s="4" t="s">
        <v>67</v>
      </c>
      <c r="K178" s="4" t="s">
        <v>90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</row>
    <row r="179" spans="1:133" ht="12.75">
      <c r="A179" s="81" t="s">
        <v>12</v>
      </c>
      <c r="B179" s="82" t="s">
        <v>13</v>
      </c>
      <c r="C179" s="140"/>
      <c r="D179" s="140"/>
      <c r="E179" s="140"/>
      <c r="F179" s="142"/>
      <c r="G179" s="4"/>
      <c r="H179" s="4"/>
      <c r="I179" s="4"/>
      <c r="J179" s="4">
        <f>(O36*B181)/(2*PI()*(A183-A181))</f>
        <v>0.00032928608915564557</v>
      </c>
      <c r="K179" s="4">
        <f>(Q36*B181)/(2*PI()*(A183-A181))</f>
        <v>0.00010976202971854851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</row>
    <row r="180" spans="1:133" ht="19.5" customHeight="1">
      <c r="A180" s="83" t="s">
        <v>32</v>
      </c>
      <c r="B180" s="27" t="s">
        <v>17</v>
      </c>
      <c r="C180" s="143" t="s">
        <v>71</v>
      </c>
      <c r="D180" s="143" t="s">
        <v>77</v>
      </c>
      <c r="E180" s="140" t="s">
        <v>91</v>
      </c>
      <c r="F180" s="144"/>
      <c r="G180" s="4"/>
      <c r="H180" s="4"/>
      <c r="I180" s="4"/>
      <c r="J180" s="4" t="s">
        <v>70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</row>
    <row r="181" spans="1:133" s="147" customFormat="1" ht="19.5" customHeight="1">
      <c r="A181" s="32">
        <v>100</v>
      </c>
      <c r="B181" s="33">
        <v>4</v>
      </c>
      <c r="C181" s="145">
        <f>J179*1000</f>
        <v>0.32928608915564556</v>
      </c>
      <c r="D181" s="145">
        <f>(1/(4*POWER(PI(),2)*POWER(J177,2)*J181))*1000</f>
        <v>4.615504888427185</v>
      </c>
      <c r="E181" s="146">
        <f>K179*1000</f>
        <v>0.10976202971854851</v>
      </c>
      <c r="F181" s="144"/>
      <c r="G181" s="4"/>
      <c r="H181" s="4"/>
      <c r="I181" s="4"/>
      <c r="J181" s="4">
        <f>P36/(2*PI()*(A183-A181)*B181)</f>
        <v>1.8293625885579037E-05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</row>
    <row r="182" spans="1:133" ht="19.5" customHeight="1">
      <c r="A182" s="89" t="s">
        <v>36</v>
      </c>
      <c r="B182" s="90"/>
      <c r="C182" s="143" t="s">
        <v>76</v>
      </c>
      <c r="D182" s="143" t="s">
        <v>79</v>
      </c>
      <c r="E182" s="140" t="s">
        <v>92</v>
      </c>
      <c r="F182" s="14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</row>
    <row r="183" spans="1:133" ht="19.5" customHeight="1">
      <c r="A183" s="106">
        <v>3000</v>
      </c>
      <c r="B183" s="90"/>
      <c r="C183" s="145">
        <f>(1/(4*POWER(PI(),2)*POWER(J177,2)*J179))*1000000</f>
        <v>256.4162972036091</v>
      </c>
      <c r="D183" s="145">
        <f>J181*1000000</f>
        <v>18.293625885579036</v>
      </c>
      <c r="E183" s="148">
        <f>(1/(4*POWER(PI(),2)*POWER(J177,2)*K179)*1000000)</f>
        <v>769.2488916108273</v>
      </c>
      <c r="F183" s="14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</row>
    <row r="184" spans="1:133" ht="12.75">
      <c r="A184" s="136"/>
      <c r="B184" s="137"/>
      <c r="C184" s="137"/>
      <c r="D184" s="138"/>
      <c r="E184" s="137"/>
      <c r="F184" s="139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</row>
    <row r="185" spans="1:133" ht="12.75">
      <c r="A185" s="136"/>
      <c r="B185" s="137"/>
      <c r="C185" s="137"/>
      <c r="D185" s="138"/>
      <c r="E185" s="137"/>
      <c r="F185" s="139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</row>
    <row r="186" spans="1:133" ht="12.75">
      <c r="A186" s="136"/>
      <c r="B186" s="137"/>
      <c r="C186" s="137"/>
      <c r="D186" s="138"/>
      <c r="E186" s="137"/>
      <c r="F186" s="139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</row>
    <row r="187" spans="1:133" ht="22.5">
      <c r="A187" s="149" t="s">
        <v>93</v>
      </c>
      <c r="B187" s="149"/>
      <c r="C187" s="149"/>
      <c r="D187" s="149" t="s">
        <v>94</v>
      </c>
      <c r="E187" s="149"/>
      <c r="F187" s="149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</row>
    <row r="188" spans="1:133" ht="12.75">
      <c r="A188" s="150"/>
      <c r="B188" s="151"/>
      <c r="C188" s="152"/>
      <c r="D188" s="150"/>
      <c r="E188" s="151"/>
      <c r="F188" s="15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</row>
    <row r="189" spans="1:133" ht="12.75">
      <c r="A189" s="150"/>
      <c r="B189" s="151"/>
      <c r="C189" s="152"/>
      <c r="D189" s="150"/>
      <c r="E189" s="151"/>
      <c r="F189" s="15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</row>
    <row r="190" spans="1:133" ht="12.75">
      <c r="A190" s="150"/>
      <c r="B190" s="151"/>
      <c r="C190" s="152"/>
      <c r="D190" s="150"/>
      <c r="E190" s="151"/>
      <c r="F190" s="152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</row>
    <row r="191" spans="1:133" ht="12.75">
      <c r="A191" s="153"/>
      <c r="B191" s="151"/>
      <c r="C191" s="152"/>
      <c r="D191" s="153"/>
      <c r="E191" s="151"/>
      <c r="F191" s="152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</row>
    <row r="192" spans="1:133" ht="12.75">
      <c r="A192" s="150"/>
      <c r="B192" s="151"/>
      <c r="C192" s="152"/>
      <c r="D192" s="150"/>
      <c r="E192" s="151"/>
      <c r="F192" s="152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</row>
    <row r="193" spans="1:133" ht="12.75">
      <c r="A193" s="150"/>
      <c r="B193" s="151"/>
      <c r="C193" s="152"/>
      <c r="D193" s="150"/>
      <c r="E193" s="151"/>
      <c r="F193" s="152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</row>
    <row r="194" spans="1:133" ht="12.75">
      <c r="A194" s="150"/>
      <c r="B194" s="151"/>
      <c r="C194" s="152"/>
      <c r="D194" s="150"/>
      <c r="E194" s="151"/>
      <c r="F194" s="152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</row>
    <row r="195" spans="1:133" ht="12.75">
      <c r="A195" s="150"/>
      <c r="B195" s="151"/>
      <c r="C195" s="152"/>
      <c r="D195" s="150"/>
      <c r="E195" s="151"/>
      <c r="F195" s="15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</row>
    <row r="196" spans="1:133" ht="12.75">
      <c r="A196" s="154" t="s">
        <v>95</v>
      </c>
      <c r="B196" s="155" t="s">
        <v>9</v>
      </c>
      <c r="C196" s="156"/>
      <c r="D196" s="154" t="s">
        <v>96</v>
      </c>
      <c r="E196" s="157" t="s">
        <v>9</v>
      </c>
      <c r="F196" s="15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</row>
    <row r="197" spans="1:133" ht="12.75">
      <c r="A197" s="159" t="s">
        <v>97</v>
      </c>
      <c r="B197" s="160" t="s">
        <v>13</v>
      </c>
      <c r="C197" s="161" t="s">
        <v>10</v>
      </c>
      <c r="D197" s="159" t="s">
        <v>98</v>
      </c>
      <c r="E197" s="162" t="s">
        <v>13</v>
      </c>
      <c r="F197" s="163" t="s">
        <v>10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</row>
    <row r="198" spans="1:133" ht="12.75">
      <c r="A198" s="159" t="s">
        <v>99</v>
      </c>
      <c r="B198" s="164" t="s">
        <v>17</v>
      </c>
      <c r="C198" s="161" t="s">
        <v>100</v>
      </c>
      <c r="D198" s="159" t="s">
        <v>101</v>
      </c>
      <c r="E198" s="165" t="s">
        <v>17</v>
      </c>
      <c r="F198" s="163" t="s">
        <v>102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</row>
    <row r="199" spans="1:133" ht="12.75">
      <c r="A199" s="166">
        <v>0.095</v>
      </c>
      <c r="B199" s="167">
        <v>6</v>
      </c>
      <c r="C199" s="168">
        <f>B199</f>
        <v>6</v>
      </c>
      <c r="D199" s="169">
        <v>1.339</v>
      </c>
      <c r="E199" s="170">
        <v>6</v>
      </c>
      <c r="F199" s="171">
        <f>E199*(1-POWER(10,-0.05*D199))</f>
        <v>0.8571808737670521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</row>
    <row r="200" spans="1:133" ht="12.75">
      <c r="A200" s="172"/>
      <c r="B200" s="173"/>
      <c r="C200" s="161" t="s">
        <v>33</v>
      </c>
      <c r="D200" s="159"/>
      <c r="E200" s="174"/>
      <c r="F200" s="175" t="s">
        <v>103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</row>
    <row r="201" spans="1:133" ht="12.75">
      <c r="A201" s="176"/>
      <c r="B201" s="177"/>
      <c r="C201" s="178">
        <f>((A199/1000)/POWER(B199,2))*1000000</f>
        <v>2.638888888888889</v>
      </c>
      <c r="D201" s="179"/>
      <c r="E201" s="180"/>
      <c r="F201" s="181">
        <f>(POWER(E199,2)*POWER(10,-0.05*D199))/(E199-(E199*POWER(10,-0.05*D199)))</f>
        <v>35.99813726803169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</row>
    <row r="202" spans="1:133" ht="12.75">
      <c r="A202" s="5"/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</row>
    <row r="203" spans="134:256" s="5" customFormat="1" ht="12.75"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34:256" s="5" customFormat="1" ht="12.75"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34:256" s="5" customFormat="1" ht="12.75"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34:256" s="5" customFormat="1" ht="12.75"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34:256" s="5" customFormat="1" ht="12.75"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34:256" s="5" customFormat="1" ht="12.75"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34:256" s="5" customFormat="1" ht="12.75"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34:256" s="5" customFormat="1" ht="12.75"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34:256" s="5" customFormat="1" ht="12.75"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34:256" s="5" customFormat="1" ht="12.75"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34:256" s="5" customFormat="1" ht="12.75"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34:256" s="5" customFormat="1" ht="12.75"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34:256" s="5" customFormat="1" ht="12.75"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2:256" s="5" customFormat="1" ht="12.75">
      <c r="B216" s="182"/>
      <c r="C216" s="182"/>
      <c r="D216" s="182"/>
      <c r="E216" s="182"/>
      <c r="F216" s="182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5" customFormat="1" ht="12.75">
      <c r="A217" s="182"/>
      <c r="B217" s="182"/>
      <c r="C217" s="182"/>
      <c r="D217" s="182"/>
      <c r="E217" s="182"/>
      <c r="F217" s="182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5" customFormat="1" ht="12.75">
      <c r="A218" s="182"/>
      <c r="B218" s="182"/>
      <c r="C218" s="182"/>
      <c r="D218" s="182"/>
      <c r="E218" s="182"/>
      <c r="F218" s="182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5" customFormat="1" ht="12.75">
      <c r="A219" s="182"/>
      <c r="B219" s="182"/>
      <c r="C219" s="182"/>
      <c r="D219" s="182"/>
      <c r="E219" s="182"/>
      <c r="F219" s="182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5" customFormat="1" ht="12.75">
      <c r="A220" s="182"/>
      <c r="B220" s="182"/>
      <c r="C220" s="182"/>
      <c r="D220" s="182"/>
      <c r="E220" s="182"/>
      <c r="F220" s="182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5" customFormat="1" ht="12.75">
      <c r="A221" s="182"/>
      <c r="B221" s="182"/>
      <c r="C221" s="182"/>
      <c r="D221" s="182"/>
      <c r="E221" s="182"/>
      <c r="F221" s="182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5" customFormat="1" ht="12.75">
      <c r="A222" s="182"/>
      <c r="B222" s="182"/>
      <c r="C222" s="182"/>
      <c r="D222" s="182"/>
      <c r="E222" s="182"/>
      <c r="F222" s="18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5" customFormat="1" ht="12.75">
      <c r="A223" s="182"/>
      <c r="B223" s="182"/>
      <c r="C223" s="182"/>
      <c r="D223" s="182"/>
      <c r="E223" s="182"/>
      <c r="F223" s="182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5" customFormat="1" ht="12.75">
      <c r="A224" s="182"/>
      <c r="B224" s="182"/>
      <c r="C224" s="182"/>
      <c r="D224" s="182"/>
      <c r="E224" s="182"/>
      <c r="F224" s="182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5" customFormat="1" ht="12.75">
      <c r="A225" s="182"/>
      <c r="B225" s="182"/>
      <c r="C225" s="182"/>
      <c r="D225" s="182"/>
      <c r="E225" s="182"/>
      <c r="F225" s="182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5" customFormat="1" ht="12.75">
      <c r="A226" s="182"/>
      <c r="B226" s="182"/>
      <c r="C226" s="182"/>
      <c r="D226" s="182"/>
      <c r="E226" s="182"/>
      <c r="F226" s="182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5" customFormat="1" ht="12.75">
      <c r="A227" s="182"/>
      <c r="B227" s="182"/>
      <c r="C227" s="182"/>
      <c r="D227" s="182"/>
      <c r="E227" s="182"/>
      <c r="F227" s="182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5" customFormat="1" ht="12.75">
      <c r="A228" s="182"/>
      <c r="B228" s="182"/>
      <c r="C228" s="182"/>
      <c r="D228" s="182"/>
      <c r="E228" s="182"/>
      <c r="F228" s="182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5" customFormat="1" ht="12.75">
      <c r="A229" s="182"/>
      <c r="B229" s="182"/>
      <c r="C229" s="182"/>
      <c r="D229" s="182"/>
      <c r="E229" s="182"/>
      <c r="F229" s="182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5" customFormat="1" ht="12.75">
      <c r="A230" s="182"/>
      <c r="B230" s="182"/>
      <c r="C230" s="182"/>
      <c r="D230" s="182"/>
      <c r="E230" s="182"/>
      <c r="F230" s="182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5" customFormat="1" ht="12.75">
      <c r="A231" s="182"/>
      <c r="B231" s="182"/>
      <c r="C231" s="182"/>
      <c r="D231" s="182"/>
      <c r="E231" s="182"/>
      <c r="F231" s="182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5" customFormat="1" ht="12.75">
      <c r="A232" s="182"/>
      <c r="B232" s="182"/>
      <c r="C232" s="182"/>
      <c r="D232" s="182"/>
      <c r="E232" s="182"/>
      <c r="F232" s="18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5" customFormat="1" ht="12.75">
      <c r="A233" s="182"/>
      <c r="B233" s="182"/>
      <c r="C233" s="182"/>
      <c r="D233" s="182"/>
      <c r="E233" s="182"/>
      <c r="F233" s="182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5" customFormat="1" ht="12.75">
      <c r="A234" s="182"/>
      <c r="B234" s="182"/>
      <c r="C234" s="182"/>
      <c r="D234" s="182"/>
      <c r="E234" s="182"/>
      <c r="F234" s="182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5" customFormat="1" ht="12.75">
      <c r="A235" s="182"/>
      <c r="B235" s="182"/>
      <c r="C235" s="182"/>
      <c r="D235" s="182"/>
      <c r="E235" s="182"/>
      <c r="F235" s="182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5" customFormat="1" ht="12.75">
      <c r="A236" s="182"/>
      <c r="B236" s="182"/>
      <c r="C236" s="182"/>
      <c r="D236" s="182"/>
      <c r="E236" s="182"/>
      <c r="F236" s="182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5" customFormat="1" ht="12.75">
      <c r="A237" s="182"/>
      <c r="B237" s="182"/>
      <c r="C237" s="182"/>
      <c r="D237" s="182"/>
      <c r="E237" s="182"/>
      <c r="F237" s="182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5" customFormat="1" ht="12.75">
      <c r="A238" s="182"/>
      <c r="B238" s="182"/>
      <c r="C238" s="182"/>
      <c r="D238" s="182"/>
      <c r="E238" s="182"/>
      <c r="F238" s="182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5" customFormat="1" ht="12.75">
      <c r="A239" s="182"/>
      <c r="B239" s="182"/>
      <c r="C239" s="182"/>
      <c r="D239" s="182"/>
      <c r="E239" s="182"/>
      <c r="F239" s="182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5" customFormat="1" ht="12.75">
      <c r="A240" s="182"/>
      <c r="B240" s="182"/>
      <c r="C240" s="182"/>
      <c r="D240" s="182"/>
      <c r="E240" s="182"/>
      <c r="F240" s="182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5" customFormat="1" ht="12.75">
      <c r="A241" s="182"/>
      <c r="B241" s="182"/>
      <c r="C241" s="182"/>
      <c r="D241" s="182"/>
      <c r="E241" s="182"/>
      <c r="F241" s="182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5" customFormat="1" ht="12.75">
      <c r="A242" s="182"/>
      <c r="B242" s="182"/>
      <c r="C242" s="182"/>
      <c r="D242" s="182"/>
      <c r="E242" s="182"/>
      <c r="F242" s="18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5" customFormat="1" ht="12.75">
      <c r="A243" s="182"/>
      <c r="B243" s="182"/>
      <c r="C243" s="182"/>
      <c r="D243" s="182"/>
      <c r="E243" s="182"/>
      <c r="F243" s="182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5" customFormat="1" ht="12.75">
      <c r="A244" s="182"/>
      <c r="B244" s="182"/>
      <c r="C244" s="182"/>
      <c r="D244" s="182"/>
      <c r="E244" s="182"/>
      <c r="F244" s="182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5" customFormat="1" ht="12.75">
      <c r="A245" s="182"/>
      <c r="B245" s="182"/>
      <c r="C245" s="182"/>
      <c r="D245" s="182"/>
      <c r="E245" s="182"/>
      <c r="F245" s="182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5" customFormat="1" ht="12.75">
      <c r="A246" s="182"/>
      <c r="B246" s="182"/>
      <c r="C246" s="182"/>
      <c r="D246" s="182"/>
      <c r="E246" s="182"/>
      <c r="F246" s="182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5" customFormat="1" ht="12.75">
      <c r="A247" s="182"/>
      <c r="B247" s="182"/>
      <c r="C247" s="182"/>
      <c r="D247" s="182"/>
      <c r="E247" s="182"/>
      <c r="F247" s="182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5" customFormat="1" ht="12.75">
      <c r="A248" s="182"/>
      <c r="B248" s="182"/>
      <c r="C248" s="182"/>
      <c r="D248" s="182"/>
      <c r="E248" s="182"/>
      <c r="F248" s="182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5" customFormat="1" ht="12.75">
      <c r="A249" s="182"/>
      <c r="B249" s="182"/>
      <c r="C249" s="182"/>
      <c r="D249" s="182"/>
      <c r="E249" s="182"/>
      <c r="F249" s="182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5" customFormat="1" ht="12.75">
      <c r="A250" s="182"/>
      <c r="B250" s="182"/>
      <c r="C250" s="182"/>
      <c r="D250" s="182"/>
      <c r="E250" s="182"/>
      <c r="F250" s="182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5" customFormat="1" ht="12.75">
      <c r="A251" s="182"/>
      <c r="B251" s="182"/>
      <c r="C251" s="182"/>
      <c r="D251" s="182"/>
      <c r="E251" s="182"/>
      <c r="F251" s="182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5" customFormat="1" ht="12.75">
      <c r="A252" s="182"/>
      <c r="B252" s="182"/>
      <c r="C252" s="182"/>
      <c r="D252" s="182"/>
      <c r="E252" s="182"/>
      <c r="F252" s="18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5" customFormat="1" ht="12.75">
      <c r="A253" s="182"/>
      <c r="B253" s="182"/>
      <c r="C253" s="182"/>
      <c r="D253" s="182"/>
      <c r="E253" s="182"/>
      <c r="F253" s="182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5" customFormat="1" ht="12.75">
      <c r="A254" s="182"/>
      <c r="B254" s="182"/>
      <c r="C254" s="182"/>
      <c r="D254" s="182"/>
      <c r="E254" s="182"/>
      <c r="F254" s="182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5" customFormat="1" ht="12.75">
      <c r="A255" s="182"/>
      <c r="B255" s="182"/>
      <c r="C255" s="182"/>
      <c r="D255" s="182"/>
      <c r="E255" s="182"/>
      <c r="F255" s="182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5" customFormat="1" ht="12.75">
      <c r="A256" s="182"/>
      <c r="B256" s="182"/>
      <c r="C256" s="182"/>
      <c r="D256" s="182"/>
      <c r="E256" s="182"/>
      <c r="F256" s="182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5" customFormat="1" ht="12.75">
      <c r="A257" s="182"/>
      <c r="B257" s="182"/>
      <c r="C257" s="182"/>
      <c r="D257" s="182"/>
      <c r="E257" s="182"/>
      <c r="F257" s="182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5" customFormat="1" ht="12.75">
      <c r="A258" s="182"/>
      <c r="B258" s="182"/>
      <c r="C258" s="182"/>
      <c r="D258" s="182"/>
      <c r="E258" s="182"/>
      <c r="F258" s="182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5" customFormat="1" ht="12.75">
      <c r="A259" s="182"/>
      <c r="B259" s="182"/>
      <c r="C259" s="182"/>
      <c r="D259" s="182"/>
      <c r="E259" s="182"/>
      <c r="F259" s="182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5" customFormat="1" ht="12.75">
      <c r="A260" s="182"/>
      <c r="B260" s="182"/>
      <c r="C260" s="182"/>
      <c r="D260" s="182"/>
      <c r="E260" s="182"/>
      <c r="F260" s="182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5" customFormat="1" ht="12.75">
      <c r="A261" s="182"/>
      <c r="B261" s="182"/>
      <c r="C261" s="182"/>
      <c r="D261" s="182"/>
      <c r="E261" s="182"/>
      <c r="F261" s="182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5" customFormat="1" ht="12.75">
      <c r="A262" s="182"/>
      <c r="B262" s="182"/>
      <c r="C262" s="182"/>
      <c r="D262" s="182"/>
      <c r="E262" s="182"/>
      <c r="F262" s="18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5" customFormat="1" ht="12.75">
      <c r="A263" s="182"/>
      <c r="B263" s="182"/>
      <c r="C263" s="182"/>
      <c r="D263" s="182"/>
      <c r="E263" s="182"/>
      <c r="F263" s="182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5" customFormat="1" ht="12.75">
      <c r="A264" s="182"/>
      <c r="B264" s="182"/>
      <c r="C264" s="182"/>
      <c r="D264" s="182"/>
      <c r="E264" s="182"/>
      <c r="F264" s="182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5" customFormat="1" ht="12.75">
      <c r="A265" s="182"/>
      <c r="B265" s="182"/>
      <c r="C265" s="182"/>
      <c r="D265" s="182"/>
      <c r="E265" s="182"/>
      <c r="F265" s="182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5" customFormat="1" ht="12.75">
      <c r="A266" s="182"/>
      <c r="B266" s="182"/>
      <c r="C266" s="182"/>
      <c r="D266" s="182"/>
      <c r="E266" s="182"/>
      <c r="F266" s="182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5" customFormat="1" ht="12.75">
      <c r="A267" s="182"/>
      <c r="B267" s="182"/>
      <c r="C267" s="182"/>
      <c r="D267" s="182"/>
      <c r="E267" s="182"/>
      <c r="F267" s="182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5" customFormat="1" ht="12.75">
      <c r="A268" s="182"/>
      <c r="B268" s="182"/>
      <c r="C268" s="182"/>
      <c r="D268" s="182"/>
      <c r="E268" s="182"/>
      <c r="F268" s="182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5" customFormat="1" ht="12.75">
      <c r="A269" s="182"/>
      <c r="B269" s="182"/>
      <c r="C269" s="182"/>
      <c r="D269" s="182"/>
      <c r="E269" s="182"/>
      <c r="F269" s="182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5" customFormat="1" ht="12.75">
      <c r="A270" s="182"/>
      <c r="B270" s="182"/>
      <c r="C270" s="182"/>
      <c r="D270" s="182"/>
      <c r="E270" s="182"/>
      <c r="F270" s="182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5" customFormat="1" ht="12.75">
      <c r="A271" s="182"/>
      <c r="B271" s="182"/>
      <c r="C271" s="182"/>
      <c r="D271" s="182"/>
      <c r="E271" s="182"/>
      <c r="F271" s="182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5" customFormat="1" ht="12.75">
      <c r="A272" s="182"/>
      <c r="B272" s="182"/>
      <c r="C272" s="182"/>
      <c r="D272" s="182"/>
      <c r="E272" s="182"/>
      <c r="F272" s="18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5" customFormat="1" ht="12.75">
      <c r="A273" s="182"/>
      <c r="B273" s="182"/>
      <c r="C273" s="182"/>
      <c r="D273" s="182"/>
      <c r="E273" s="182"/>
      <c r="F273" s="182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5" customFormat="1" ht="12.75">
      <c r="A274" s="182"/>
      <c r="B274" s="182"/>
      <c r="C274" s="182"/>
      <c r="D274" s="182"/>
      <c r="E274" s="182"/>
      <c r="F274" s="182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5" customFormat="1" ht="12.75">
      <c r="A275" s="182"/>
      <c r="B275" s="182"/>
      <c r="C275" s="182"/>
      <c r="D275" s="182"/>
      <c r="E275" s="182"/>
      <c r="F275" s="182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5" customFormat="1" ht="12.75">
      <c r="A276" s="182"/>
      <c r="B276" s="182"/>
      <c r="C276" s="182"/>
      <c r="D276" s="182"/>
      <c r="E276" s="182"/>
      <c r="F276" s="182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5" customFormat="1" ht="12.75">
      <c r="A277" s="182"/>
      <c r="B277" s="182"/>
      <c r="C277" s="182"/>
      <c r="D277" s="182"/>
      <c r="E277" s="182"/>
      <c r="F277" s="182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5" customFormat="1" ht="12.75">
      <c r="A278" s="182"/>
      <c r="B278" s="182"/>
      <c r="C278" s="182"/>
      <c r="D278" s="182"/>
      <c r="E278" s="182"/>
      <c r="F278" s="182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5" customFormat="1" ht="12.75">
      <c r="A279" s="182"/>
      <c r="B279" s="182"/>
      <c r="C279" s="182"/>
      <c r="D279" s="182"/>
      <c r="E279" s="182"/>
      <c r="F279" s="182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5" customFormat="1" ht="12.75">
      <c r="A280" s="182"/>
      <c r="B280" s="182"/>
      <c r="C280" s="182"/>
      <c r="D280" s="182"/>
      <c r="E280" s="182"/>
      <c r="F280" s="182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5" customFormat="1" ht="12.75">
      <c r="A281" s="182"/>
      <c r="B281" s="182"/>
      <c r="C281" s="182"/>
      <c r="D281" s="182"/>
      <c r="E281" s="182"/>
      <c r="F281" s="182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s="5" customFormat="1" ht="12.75">
      <c r="A282" s="182"/>
      <c r="B282" s="182"/>
      <c r="C282" s="182"/>
      <c r="D282" s="182"/>
      <c r="E282" s="182"/>
      <c r="F282" s="1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s="5" customFormat="1" ht="12.75">
      <c r="A283" s="182"/>
      <c r="B283" s="182"/>
      <c r="C283" s="182"/>
      <c r="D283" s="182"/>
      <c r="E283" s="182"/>
      <c r="F283" s="182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s="5" customFormat="1" ht="12.75">
      <c r="A284" s="182"/>
      <c r="B284" s="182"/>
      <c r="C284" s="182"/>
      <c r="D284" s="182"/>
      <c r="E284" s="182"/>
      <c r="F284" s="182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s="5" customFormat="1" ht="12.75">
      <c r="A285" s="182"/>
      <c r="B285" s="182"/>
      <c r="C285" s="182"/>
      <c r="D285" s="182"/>
      <c r="E285" s="182"/>
      <c r="F285" s="182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s="5" customFormat="1" ht="12.75">
      <c r="A286" s="182"/>
      <c r="B286" s="182"/>
      <c r="C286" s="182"/>
      <c r="D286" s="182"/>
      <c r="E286" s="182"/>
      <c r="F286" s="182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5" customFormat="1" ht="12.75">
      <c r="A287" s="182"/>
      <c r="B287" s="182"/>
      <c r="C287" s="182"/>
      <c r="D287" s="182"/>
      <c r="E287" s="182"/>
      <c r="F287" s="182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s="5" customFormat="1" ht="12.75">
      <c r="A288" s="182"/>
      <c r="B288" s="182"/>
      <c r="C288" s="182"/>
      <c r="D288" s="182"/>
      <c r="E288" s="182"/>
      <c r="F288" s="182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s="5" customFormat="1" ht="12.75">
      <c r="A289" s="182"/>
      <c r="B289" s="182"/>
      <c r="C289" s="182"/>
      <c r="D289" s="182"/>
      <c r="E289" s="182"/>
      <c r="F289" s="182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5" customFormat="1" ht="12.75">
      <c r="A290" s="182"/>
      <c r="B290" s="182"/>
      <c r="C290" s="182"/>
      <c r="D290" s="182"/>
      <c r="E290" s="182"/>
      <c r="F290" s="182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s="5" customFormat="1" ht="12.75">
      <c r="A291" s="182"/>
      <c r="B291" s="182"/>
      <c r="C291" s="182"/>
      <c r="D291" s="182"/>
      <c r="E291" s="182"/>
      <c r="F291" s="182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s="5" customFormat="1" ht="12.75">
      <c r="A292" s="182"/>
      <c r="B292" s="182"/>
      <c r="C292" s="182"/>
      <c r="D292" s="182"/>
      <c r="E292" s="182"/>
      <c r="F292" s="18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5" customFormat="1" ht="12.75">
      <c r="A293" s="182"/>
      <c r="B293" s="182"/>
      <c r="C293" s="182"/>
      <c r="D293" s="182"/>
      <c r="E293" s="182"/>
      <c r="F293" s="182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s="5" customFormat="1" ht="12.75">
      <c r="A294" s="182"/>
      <c r="B294" s="182"/>
      <c r="C294" s="182"/>
      <c r="D294" s="182"/>
      <c r="E294" s="182"/>
      <c r="F294" s="182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s="5" customFormat="1" ht="12.75">
      <c r="A295" s="182"/>
      <c r="B295" s="182"/>
      <c r="C295" s="182"/>
      <c r="D295" s="182"/>
      <c r="E295" s="182"/>
      <c r="F295" s="182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s="5" customFormat="1" ht="12.75">
      <c r="A296" s="182"/>
      <c r="B296" s="182"/>
      <c r="C296" s="182"/>
      <c r="D296" s="182"/>
      <c r="E296" s="182"/>
      <c r="F296" s="182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s="5" customFormat="1" ht="12.75">
      <c r="A297" s="182"/>
      <c r="B297" s="182"/>
      <c r="C297" s="182"/>
      <c r="D297" s="182"/>
      <c r="E297" s="182"/>
      <c r="F297" s="182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5" customFormat="1" ht="12.75">
      <c r="A298" s="182"/>
      <c r="B298" s="182"/>
      <c r="C298" s="182"/>
      <c r="D298" s="182"/>
      <c r="E298" s="182"/>
      <c r="F298" s="182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5" customFormat="1" ht="12.75">
      <c r="A299" s="182"/>
      <c r="B299" s="182"/>
      <c r="C299" s="182"/>
      <c r="D299" s="182"/>
      <c r="E299" s="182"/>
      <c r="F299" s="182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s="5" customFormat="1" ht="12.75">
      <c r="A300" s="182"/>
      <c r="B300" s="182"/>
      <c r="C300" s="182"/>
      <c r="D300" s="182"/>
      <c r="E300" s="182"/>
      <c r="F300" s="182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</sheetData>
  <sheetProtection sheet="1"/>
  <mergeCells count="95">
    <mergeCell ref="A1:F1"/>
    <mergeCell ref="A2:F2"/>
    <mergeCell ref="A4:F4"/>
    <mergeCell ref="A5:C5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A21:F21"/>
    <mergeCell ref="A22:C22"/>
    <mergeCell ref="D22:F22"/>
    <mergeCell ref="D24:F24"/>
    <mergeCell ref="D25:F25"/>
    <mergeCell ref="D26:F26"/>
    <mergeCell ref="N32:N33"/>
    <mergeCell ref="O32:T32"/>
    <mergeCell ref="A39:F39"/>
    <mergeCell ref="A40:C40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A58:F58"/>
    <mergeCell ref="A59:C59"/>
    <mergeCell ref="D59:F59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A77:F77"/>
    <mergeCell ref="A78:C78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A96:F96"/>
    <mergeCell ref="A97:C97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A121:F121"/>
    <mergeCell ref="A122:C122"/>
    <mergeCell ref="D122:F122"/>
    <mergeCell ref="D124:F124"/>
    <mergeCell ref="D125:F125"/>
    <mergeCell ref="D126:F126"/>
    <mergeCell ref="D127:F127"/>
    <mergeCell ref="A143:F143"/>
    <mergeCell ref="A144:C144"/>
    <mergeCell ref="D144:F144"/>
    <mergeCell ref="D146:F146"/>
    <mergeCell ref="D147:F147"/>
    <mergeCell ref="D148:F148"/>
    <mergeCell ref="D149:F149"/>
    <mergeCell ref="A164:F164"/>
    <mergeCell ref="A165:F165"/>
    <mergeCell ref="C178:E179"/>
    <mergeCell ref="A187:C187"/>
    <mergeCell ref="D187:F187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7"/>
  <sheetViews>
    <sheetView zoomScale="82" zoomScaleNormal="82" workbookViewId="0" topLeftCell="A1">
      <selection activeCell="H18" sqref="H18"/>
    </sheetView>
  </sheetViews>
  <sheetFormatPr defaultColWidth="9.00390625" defaultRowHeight="12.75"/>
  <cols>
    <col min="1" max="1" width="15.25390625" style="0" customWidth="1"/>
    <col min="2" max="2" width="28.00390625" style="0" customWidth="1"/>
    <col min="3" max="3" width="22.00390625" style="0" customWidth="1"/>
    <col min="4" max="4" width="19.75390625" style="0" customWidth="1"/>
    <col min="5" max="5" width="28.375" style="0" customWidth="1"/>
    <col min="6" max="6" width="14.50390625" style="0" customWidth="1"/>
    <col min="13" max="13" width="10.25390625" style="0" customWidth="1"/>
    <col min="14" max="14" width="15.625" style="0" customWidth="1"/>
    <col min="15" max="15" width="9.75390625" style="0" customWidth="1"/>
    <col min="16" max="16" width="10.00390625" style="0" customWidth="1"/>
  </cols>
  <sheetData>
    <row r="1" spans="1:38" ht="15">
      <c r="A1" s="1" t="s">
        <v>104</v>
      </c>
      <c r="B1" s="1"/>
      <c r="C1" s="1"/>
      <c r="D1" s="1"/>
      <c r="E1" s="1"/>
      <c r="F1" s="1"/>
      <c r="G1" s="183"/>
      <c r="H1" s="183"/>
      <c r="I1" s="183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3"/>
      <c r="X1" s="183"/>
      <c r="Y1" s="183"/>
      <c r="Z1" s="183"/>
      <c r="AA1" s="183"/>
      <c r="AB1" s="185"/>
      <c r="AC1" s="185"/>
      <c r="AD1" s="151"/>
      <c r="AE1" s="151"/>
      <c r="AF1" s="151"/>
      <c r="AG1" s="151"/>
      <c r="AH1" s="151"/>
      <c r="AI1" s="151"/>
      <c r="AJ1" s="151"/>
      <c r="AK1" s="151"/>
      <c r="AL1" s="151"/>
    </row>
    <row r="2" spans="1:38" ht="15">
      <c r="A2" s="1" t="s">
        <v>105</v>
      </c>
      <c r="B2" s="1"/>
      <c r="C2" s="1"/>
      <c r="D2" s="1"/>
      <c r="E2" s="1"/>
      <c r="F2" s="1"/>
      <c r="G2" s="183"/>
      <c r="H2" s="183"/>
      <c r="I2" s="183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3"/>
      <c r="X2" s="183"/>
      <c r="Y2" s="183"/>
      <c r="Z2" s="183"/>
      <c r="AA2" s="183"/>
      <c r="AB2" s="185"/>
      <c r="AC2" s="185"/>
      <c r="AD2" s="151"/>
      <c r="AE2" s="151"/>
      <c r="AF2" s="151"/>
      <c r="AG2" s="151"/>
      <c r="AH2" s="151"/>
      <c r="AI2" s="151"/>
      <c r="AJ2" s="151"/>
      <c r="AK2" s="151"/>
      <c r="AL2" s="151"/>
    </row>
    <row r="3" spans="1:38" ht="12.75">
      <c r="A3" s="6"/>
      <c r="B3" s="6"/>
      <c r="C3" s="6"/>
      <c r="D3" s="6"/>
      <c r="E3" s="6"/>
      <c r="F3" s="6"/>
      <c r="G3" s="183"/>
      <c r="H3" s="183"/>
      <c r="I3" s="183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3"/>
      <c r="X3" s="183"/>
      <c r="Y3" s="183"/>
      <c r="Z3" s="183"/>
      <c r="AA3" s="183"/>
      <c r="AB3" s="185"/>
      <c r="AC3" s="185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38" ht="29.25">
      <c r="A4" s="98" t="s">
        <v>42</v>
      </c>
      <c r="B4" s="98"/>
      <c r="C4" s="98"/>
      <c r="D4" s="98"/>
      <c r="E4" s="98"/>
      <c r="F4" s="98"/>
      <c r="G4" s="183"/>
      <c r="H4" s="183"/>
      <c r="I4" s="183"/>
      <c r="J4" s="184"/>
      <c r="K4" s="184"/>
      <c r="L4" s="184"/>
      <c r="M4" s="184"/>
      <c r="N4" s="186"/>
      <c r="O4" s="184"/>
      <c r="P4" s="184"/>
      <c r="Q4" s="184"/>
      <c r="R4" s="184"/>
      <c r="S4" s="184"/>
      <c r="T4" s="184"/>
      <c r="U4" s="184"/>
      <c r="V4" s="184"/>
      <c r="W4" s="183"/>
      <c r="X4" s="183"/>
      <c r="Y4" s="183"/>
      <c r="Z4" s="183"/>
      <c r="AA4" s="183"/>
      <c r="AB4" s="185"/>
      <c r="AC4" s="185"/>
      <c r="AD4" s="151"/>
      <c r="AE4" s="151"/>
      <c r="AF4" s="151"/>
      <c r="AG4" s="151"/>
      <c r="AH4" s="151"/>
      <c r="AI4" s="151"/>
      <c r="AJ4" s="151"/>
      <c r="AK4" s="151"/>
      <c r="AL4" s="151"/>
    </row>
    <row r="5" spans="1:38" ht="17.25">
      <c r="A5" s="100" t="s">
        <v>3</v>
      </c>
      <c r="B5" s="100"/>
      <c r="C5" s="100"/>
      <c r="D5" s="101" t="s">
        <v>4</v>
      </c>
      <c r="E5" s="101"/>
      <c r="F5" s="101"/>
      <c r="G5" s="183"/>
      <c r="H5" s="183"/>
      <c r="I5" s="183"/>
      <c r="J5" s="184"/>
      <c r="K5" s="184"/>
      <c r="L5" s="184"/>
      <c r="M5" s="184"/>
      <c r="N5" s="186"/>
      <c r="O5" s="184"/>
      <c r="P5" s="184"/>
      <c r="Q5" s="184"/>
      <c r="R5" s="184"/>
      <c r="S5" s="184"/>
      <c r="T5" s="184"/>
      <c r="U5" s="184"/>
      <c r="V5" s="184"/>
      <c r="W5" s="183"/>
      <c r="X5" s="183"/>
      <c r="Y5" s="183"/>
      <c r="Z5" s="183"/>
      <c r="AA5" s="183"/>
      <c r="AB5" s="185"/>
      <c r="AC5" s="185"/>
      <c r="AD5" s="151"/>
      <c r="AE5" s="151"/>
      <c r="AF5" s="151"/>
      <c r="AG5" s="151"/>
      <c r="AH5" s="151"/>
      <c r="AI5" s="151"/>
      <c r="AJ5" s="151"/>
      <c r="AK5" s="151"/>
      <c r="AL5" s="151"/>
    </row>
    <row r="6" spans="1:38" ht="12.75">
      <c r="A6" s="11"/>
      <c r="B6" s="11"/>
      <c r="C6" s="11"/>
      <c r="D6" s="47"/>
      <c r="E6" s="11"/>
      <c r="F6" s="49"/>
      <c r="G6" s="183"/>
      <c r="H6" s="183"/>
      <c r="I6" s="183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3"/>
      <c r="X6" s="183"/>
      <c r="Y6" s="183"/>
      <c r="Z6" s="183"/>
      <c r="AA6" s="183"/>
      <c r="AB6" s="185"/>
      <c r="AC6" s="185"/>
      <c r="AD6" s="151"/>
      <c r="AE6" s="151"/>
      <c r="AF6" s="151"/>
      <c r="AG6" s="151"/>
      <c r="AH6" s="151"/>
      <c r="AI6" s="151"/>
      <c r="AJ6" s="151"/>
      <c r="AK6" s="151"/>
      <c r="AL6" s="151"/>
    </row>
    <row r="7" spans="1:38" ht="12.75">
      <c r="A7" s="11"/>
      <c r="B7" s="11"/>
      <c r="C7" s="11"/>
      <c r="D7" s="12" t="s">
        <v>5</v>
      </c>
      <c r="E7" s="12"/>
      <c r="F7" s="12"/>
      <c r="G7" s="183"/>
      <c r="H7" s="183"/>
      <c r="I7" s="183"/>
      <c r="J7" s="184"/>
      <c r="K7" s="184"/>
      <c r="L7" s="184"/>
      <c r="M7" s="184"/>
      <c r="N7" s="184"/>
      <c r="O7" s="184"/>
      <c r="P7" s="184"/>
      <c r="Q7" s="186"/>
      <c r="R7" s="184"/>
      <c r="S7" s="186"/>
      <c r="T7" s="184"/>
      <c r="U7" s="184"/>
      <c r="V7" s="184"/>
      <c r="W7" s="183"/>
      <c r="X7" s="183"/>
      <c r="Y7" s="183"/>
      <c r="Z7" s="183"/>
      <c r="AA7" s="183"/>
      <c r="AB7" s="185"/>
      <c r="AC7" s="185"/>
      <c r="AD7" s="151"/>
      <c r="AE7" s="151"/>
      <c r="AF7" s="151"/>
      <c r="AG7" s="151"/>
      <c r="AH7" s="151"/>
      <c r="AI7" s="151"/>
      <c r="AJ7" s="151"/>
      <c r="AK7" s="151"/>
      <c r="AL7" s="151"/>
    </row>
    <row r="8" spans="1:38" ht="12.75">
      <c r="A8" s="11"/>
      <c r="B8" s="11"/>
      <c r="C8" s="11"/>
      <c r="D8" s="12" t="s">
        <v>6</v>
      </c>
      <c r="E8" s="12"/>
      <c r="F8" s="12"/>
      <c r="G8" s="183"/>
      <c r="H8" s="183"/>
      <c r="I8" s="183"/>
      <c r="J8" s="184"/>
      <c r="K8" s="184"/>
      <c r="L8" s="184"/>
      <c r="M8" s="184"/>
      <c r="N8" s="184"/>
      <c r="O8" s="184"/>
      <c r="P8" s="184"/>
      <c r="Q8" s="186"/>
      <c r="R8" s="184"/>
      <c r="S8" s="186"/>
      <c r="T8" s="184"/>
      <c r="U8" s="184"/>
      <c r="V8" s="184"/>
      <c r="W8" s="183"/>
      <c r="X8" s="183"/>
      <c r="Y8" s="183"/>
      <c r="Z8" s="183"/>
      <c r="AA8" s="183"/>
      <c r="AB8" s="185"/>
      <c r="AC8" s="185"/>
      <c r="AD8" s="151"/>
      <c r="AE8" s="151"/>
      <c r="AF8" s="151"/>
      <c r="AG8" s="151"/>
      <c r="AH8" s="151"/>
      <c r="AI8" s="151"/>
      <c r="AJ8" s="151"/>
      <c r="AK8" s="151"/>
      <c r="AL8" s="151"/>
    </row>
    <row r="9" spans="1:38" ht="12.75">
      <c r="A9" s="11"/>
      <c r="B9" s="11"/>
      <c r="C9" s="11"/>
      <c r="D9" s="12" t="s">
        <v>7</v>
      </c>
      <c r="E9" s="12"/>
      <c r="F9" s="12"/>
      <c r="G9" s="183"/>
      <c r="H9" s="183"/>
      <c r="I9" s="183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3"/>
      <c r="X9" s="183"/>
      <c r="Y9" s="183"/>
      <c r="Z9" s="183"/>
      <c r="AA9" s="183"/>
      <c r="AB9" s="185"/>
      <c r="AC9" s="185"/>
      <c r="AD9" s="151"/>
      <c r="AE9" s="151"/>
      <c r="AF9" s="151"/>
      <c r="AG9" s="151"/>
      <c r="AH9" s="151"/>
      <c r="AI9" s="151"/>
      <c r="AJ9" s="151"/>
      <c r="AK9" s="151"/>
      <c r="AL9" s="151"/>
    </row>
    <row r="10" spans="1:38" ht="12.75">
      <c r="A10" s="11"/>
      <c r="B10" s="11"/>
      <c r="C10" s="11"/>
      <c r="D10" s="12" t="s">
        <v>52</v>
      </c>
      <c r="E10" s="12"/>
      <c r="F10" s="12"/>
      <c r="G10" s="183"/>
      <c r="H10" s="183"/>
      <c r="I10" s="183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3"/>
      <c r="X10" s="183"/>
      <c r="Y10" s="183"/>
      <c r="Z10" s="183"/>
      <c r="AA10" s="183"/>
      <c r="AB10" s="185"/>
      <c r="AC10" s="185"/>
      <c r="AD10" s="151"/>
      <c r="AE10" s="151"/>
      <c r="AF10" s="151"/>
      <c r="AG10" s="151"/>
      <c r="AH10" s="151"/>
      <c r="AI10" s="151"/>
      <c r="AJ10" s="151"/>
      <c r="AK10" s="151"/>
      <c r="AL10" s="151"/>
    </row>
    <row r="11" spans="1:38" ht="12.75">
      <c r="A11" s="11"/>
      <c r="B11" s="11"/>
      <c r="C11" s="11"/>
      <c r="D11" s="12" t="s">
        <v>53</v>
      </c>
      <c r="E11" s="12"/>
      <c r="F11" s="12"/>
      <c r="G11" s="183"/>
      <c r="H11" s="183"/>
      <c r="I11" s="183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3"/>
      <c r="X11" s="183"/>
      <c r="Y11" s="183"/>
      <c r="Z11" s="183"/>
      <c r="AA11" s="183"/>
      <c r="AB11" s="185"/>
      <c r="AC11" s="185"/>
      <c r="AD11" s="151"/>
      <c r="AE11" s="151"/>
      <c r="AF11" s="151"/>
      <c r="AG11" s="151"/>
      <c r="AH11" s="151"/>
      <c r="AI11" s="151"/>
      <c r="AJ11" s="151"/>
      <c r="AK11" s="151"/>
      <c r="AL11" s="151"/>
    </row>
    <row r="12" spans="1:38" ht="12.75">
      <c r="A12" s="11"/>
      <c r="B12" s="11"/>
      <c r="C12" s="11"/>
      <c r="D12" s="12" t="s">
        <v>54</v>
      </c>
      <c r="E12" s="12"/>
      <c r="F12" s="12"/>
      <c r="G12" s="183"/>
      <c r="H12" s="183"/>
      <c r="I12" s="183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3"/>
      <c r="X12" s="183"/>
      <c r="Y12" s="183"/>
      <c r="Z12" s="183"/>
      <c r="AA12" s="183"/>
      <c r="AB12" s="185"/>
      <c r="AC12" s="185"/>
      <c r="AD12" s="151"/>
      <c r="AE12" s="151"/>
      <c r="AF12" s="151"/>
      <c r="AG12" s="151"/>
      <c r="AH12" s="151"/>
      <c r="AI12" s="151"/>
      <c r="AJ12" s="151"/>
      <c r="AK12" s="151"/>
      <c r="AL12" s="151"/>
    </row>
    <row r="13" spans="1:38" ht="12.75">
      <c r="A13" s="11"/>
      <c r="B13" s="11"/>
      <c r="C13" s="11"/>
      <c r="D13" s="12" t="s">
        <v>55</v>
      </c>
      <c r="E13" s="12"/>
      <c r="F13" s="12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5"/>
      <c r="AC13" s="185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1:38" ht="12.75">
      <c r="A14" s="11"/>
      <c r="B14" s="11"/>
      <c r="C14" s="11"/>
      <c r="D14" s="12" t="s">
        <v>56</v>
      </c>
      <c r="E14" s="12"/>
      <c r="F14" s="12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5"/>
      <c r="AC14" s="185"/>
      <c r="AD14" s="151"/>
      <c r="AE14" s="151"/>
      <c r="AF14" s="151"/>
      <c r="AG14" s="151"/>
      <c r="AH14" s="151"/>
      <c r="AI14" s="151"/>
      <c r="AJ14" s="151"/>
      <c r="AK14" s="151"/>
      <c r="AL14" s="151"/>
    </row>
    <row r="15" spans="1:38" ht="12.75">
      <c r="A15" s="11"/>
      <c r="B15" s="11"/>
      <c r="C15" s="11"/>
      <c r="D15" s="102" t="s">
        <v>57</v>
      </c>
      <c r="E15" s="102"/>
      <c r="F15" s="10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5"/>
      <c r="AC15" s="185"/>
      <c r="AD15" s="151"/>
      <c r="AE15" s="151"/>
      <c r="AF15" s="151"/>
      <c r="AG15" s="151"/>
      <c r="AH15" s="151"/>
      <c r="AI15" s="151"/>
      <c r="AJ15" s="151"/>
      <c r="AK15" s="151"/>
      <c r="AL15" s="151"/>
    </row>
    <row r="16" spans="1:38" ht="19.5" customHeight="1">
      <c r="A16" s="14" t="s">
        <v>8</v>
      </c>
      <c r="B16" s="15" t="s">
        <v>9</v>
      </c>
      <c r="C16" s="80"/>
      <c r="D16" s="58" t="s">
        <v>27</v>
      </c>
      <c r="E16" s="58" t="s">
        <v>9</v>
      </c>
      <c r="F16" s="59" t="s">
        <v>10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5"/>
      <c r="AC16" s="185"/>
      <c r="AD16" s="151"/>
      <c r="AE16" s="151"/>
      <c r="AF16" s="151"/>
      <c r="AG16" s="151"/>
      <c r="AH16" s="151"/>
      <c r="AI16" s="151"/>
      <c r="AJ16" s="151"/>
      <c r="AK16" s="151"/>
      <c r="AL16" s="151"/>
    </row>
    <row r="17" spans="1:38" ht="12.75">
      <c r="A17" s="81" t="s">
        <v>12</v>
      </c>
      <c r="B17" s="82" t="s">
        <v>13</v>
      </c>
      <c r="C17" s="22" t="s">
        <v>10</v>
      </c>
      <c r="D17" s="65" t="s">
        <v>30</v>
      </c>
      <c r="E17" s="65" t="s">
        <v>13</v>
      </c>
      <c r="F17" s="66" t="s">
        <v>12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5"/>
      <c r="AC17" s="185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8" spans="1:38" ht="19.5" customHeight="1">
      <c r="A18" s="103" t="s">
        <v>16</v>
      </c>
      <c r="B18" s="27" t="s">
        <v>17</v>
      </c>
      <c r="C18" s="104" t="s">
        <v>37</v>
      </c>
      <c r="D18" s="105" t="s">
        <v>37</v>
      </c>
      <c r="E18" s="69" t="s">
        <v>17</v>
      </c>
      <c r="F18" s="84" t="s">
        <v>16</v>
      </c>
      <c r="G18" s="183"/>
      <c r="H18" s="183"/>
      <c r="I18" s="183" t="s">
        <v>84</v>
      </c>
      <c r="J18" s="183" t="s">
        <v>88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5"/>
      <c r="AC18" s="185"/>
      <c r="AD18" s="151"/>
      <c r="AE18" s="151"/>
      <c r="AF18" s="151"/>
      <c r="AG18" s="151"/>
      <c r="AH18" s="151"/>
      <c r="AI18" s="151"/>
      <c r="AJ18" s="151"/>
      <c r="AK18" s="151"/>
      <c r="AL18" s="151"/>
    </row>
    <row r="19" spans="1:38" ht="19.5" customHeight="1">
      <c r="A19" s="106">
        <v>500</v>
      </c>
      <c r="B19" s="107">
        <v>8</v>
      </c>
      <c r="C19" s="34">
        <f>((320*B19)/A19)/2</f>
        <v>2.56</v>
      </c>
      <c r="D19" s="88">
        <v>2.56</v>
      </c>
      <c r="E19" s="88">
        <v>8</v>
      </c>
      <c r="F19" s="75">
        <f>SQRT(I19*J19)</f>
        <v>500</v>
      </c>
      <c r="G19" s="187"/>
      <c r="H19" s="183"/>
      <c r="I19" s="183">
        <f>320000/((D21*2)*E19)</f>
        <v>500</v>
      </c>
      <c r="J19" s="183">
        <f>(320*E19)/(D19*2)</f>
        <v>500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5"/>
      <c r="AC19" s="185"/>
      <c r="AD19" s="151"/>
      <c r="AE19" s="151"/>
      <c r="AF19" s="151"/>
      <c r="AG19" s="151"/>
      <c r="AH19" s="151"/>
      <c r="AI19" s="151"/>
      <c r="AJ19" s="151"/>
      <c r="AK19" s="151"/>
      <c r="AL19" s="151"/>
    </row>
    <row r="20" spans="1:38" ht="19.5" customHeight="1">
      <c r="A20" s="89"/>
      <c r="B20" s="90"/>
      <c r="C20" s="91" t="s">
        <v>33</v>
      </c>
      <c r="D20" s="93" t="s">
        <v>33</v>
      </c>
      <c r="E20" s="93"/>
      <c r="F20" s="188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5"/>
      <c r="AC20" s="185"/>
      <c r="AD20" s="151"/>
      <c r="AE20" s="151"/>
      <c r="AF20" s="151"/>
      <c r="AG20" s="151"/>
      <c r="AH20" s="151"/>
      <c r="AI20" s="151"/>
      <c r="AJ20" s="151"/>
      <c r="AK20" s="151"/>
      <c r="AL20" s="151"/>
    </row>
    <row r="21" spans="1:38" ht="19.5" customHeight="1">
      <c r="A21" s="89"/>
      <c r="B21" s="90"/>
      <c r="C21" s="34">
        <f>(320000/(B19*A19))/2</f>
        <v>40</v>
      </c>
      <c r="D21" s="88">
        <v>40</v>
      </c>
      <c r="E21" s="109" t="s">
        <v>60</v>
      </c>
      <c r="F21" s="75">
        <f>AVERAGE(I19:J19)</f>
        <v>500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5"/>
      <c r="AC21" s="185"/>
      <c r="AD21" s="151"/>
      <c r="AE21" s="151"/>
      <c r="AF21" s="151"/>
      <c r="AG21" s="151"/>
      <c r="AH21" s="151"/>
      <c r="AI21" s="151"/>
      <c r="AJ21" s="151"/>
      <c r="AK21" s="151"/>
      <c r="AL21" s="151"/>
    </row>
    <row r="22" spans="1:38" ht="12.75">
      <c r="A22" s="11"/>
      <c r="B22" s="11"/>
      <c r="C22" s="11"/>
      <c r="D22" s="47"/>
      <c r="E22" s="11"/>
      <c r="F22" s="49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5"/>
      <c r="AC22" s="185"/>
      <c r="AD22" s="151"/>
      <c r="AE22" s="151"/>
      <c r="AF22" s="151"/>
      <c r="AG22" s="151"/>
      <c r="AH22" s="151"/>
      <c r="AI22" s="151"/>
      <c r="AJ22" s="151"/>
      <c r="AK22" s="151"/>
      <c r="AL22" s="151"/>
    </row>
    <row r="23" spans="1:38" ht="29.25">
      <c r="A23" s="110" t="s">
        <v>61</v>
      </c>
      <c r="B23" s="110"/>
      <c r="C23" s="110"/>
      <c r="D23" s="110"/>
      <c r="E23" s="110"/>
      <c r="F23" s="110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5"/>
      <c r="AC23" s="185"/>
      <c r="AD23" s="151"/>
      <c r="AE23" s="151"/>
      <c r="AF23" s="151"/>
      <c r="AG23" s="151"/>
      <c r="AH23" s="151"/>
      <c r="AI23" s="151"/>
      <c r="AJ23" s="151"/>
      <c r="AK23" s="151"/>
      <c r="AL23" s="151"/>
    </row>
    <row r="24" spans="1:38" ht="17.25">
      <c r="A24" s="111" t="s">
        <v>3</v>
      </c>
      <c r="B24" s="111"/>
      <c r="C24" s="111"/>
      <c r="D24" s="112" t="s">
        <v>4</v>
      </c>
      <c r="E24" s="112"/>
      <c r="F24" s="11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5"/>
      <c r="AC24" s="185"/>
      <c r="AD24" s="151"/>
      <c r="AE24" s="151"/>
      <c r="AF24" s="151"/>
      <c r="AG24" s="151"/>
      <c r="AH24" s="151"/>
      <c r="AI24" s="151"/>
      <c r="AJ24" s="151"/>
      <c r="AK24" s="151"/>
      <c r="AL24" s="151"/>
    </row>
    <row r="25" spans="1:38" ht="12.75">
      <c r="A25" s="11"/>
      <c r="B25" s="11"/>
      <c r="C25" s="11"/>
      <c r="D25" s="113"/>
      <c r="E25" s="113"/>
      <c r="F25" s="11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5"/>
      <c r="AC25" s="185"/>
      <c r="AD25" s="151"/>
      <c r="AE25" s="151"/>
      <c r="AF25" s="151"/>
      <c r="AG25" s="151"/>
      <c r="AH25" s="151"/>
      <c r="AI25" s="151"/>
      <c r="AJ25" s="151"/>
      <c r="AK25" s="151"/>
      <c r="AL25" s="151"/>
    </row>
    <row r="26" spans="1:38" ht="12.75">
      <c r="A26" s="11"/>
      <c r="B26" s="11"/>
      <c r="C26" s="11"/>
      <c r="D26" s="12" t="s">
        <v>5</v>
      </c>
      <c r="E26" s="12"/>
      <c r="F26" s="12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5"/>
      <c r="AC26" s="185"/>
      <c r="AD26" s="151"/>
      <c r="AE26" s="151"/>
      <c r="AF26" s="151"/>
      <c r="AG26" s="151"/>
      <c r="AH26" s="151"/>
      <c r="AI26" s="151"/>
      <c r="AJ26" s="151"/>
      <c r="AK26" s="151"/>
      <c r="AL26" s="151"/>
    </row>
    <row r="27" spans="1:38" ht="12.75">
      <c r="A27" s="11"/>
      <c r="B27" s="11"/>
      <c r="C27" s="11"/>
      <c r="D27" s="12" t="s">
        <v>6</v>
      </c>
      <c r="E27" s="12"/>
      <c r="F27" s="12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5"/>
      <c r="AC27" s="185"/>
      <c r="AD27" s="151"/>
      <c r="AE27" s="151"/>
      <c r="AF27" s="151"/>
      <c r="AG27" s="151"/>
      <c r="AH27" s="151"/>
      <c r="AI27" s="151"/>
      <c r="AJ27" s="151"/>
      <c r="AK27" s="151"/>
      <c r="AL27" s="151"/>
    </row>
    <row r="28" spans="1:38" ht="12.75">
      <c r="A28" s="11"/>
      <c r="B28" s="11"/>
      <c r="C28" s="11"/>
      <c r="D28" s="12" t="s">
        <v>7</v>
      </c>
      <c r="E28" s="12"/>
      <c r="F28" s="12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5"/>
      <c r="AC28" s="185"/>
      <c r="AD28" s="151"/>
      <c r="AE28" s="151"/>
      <c r="AF28" s="151"/>
      <c r="AG28" s="151"/>
      <c r="AH28" s="151"/>
      <c r="AI28" s="151"/>
      <c r="AJ28" s="151"/>
      <c r="AK28" s="151"/>
      <c r="AL28" s="151"/>
    </row>
    <row r="29" spans="1:38" ht="12.75">
      <c r="A29" s="11"/>
      <c r="B29" s="11"/>
      <c r="C29" s="11"/>
      <c r="D29" s="12" t="s">
        <v>52</v>
      </c>
      <c r="E29" s="12"/>
      <c r="F29" s="12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5"/>
      <c r="AC29" s="185"/>
      <c r="AD29" s="151"/>
      <c r="AE29" s="151"/>
      <c r="AF29" s="151"/>
      <c r="AG29" s="151"/>
      <c r="AH29" s="151"/>
      <c r="AI29" s="151"/>
      <c r="AJ29" s="151"/>
      <c r="AK29" s="151"/>
      <c r="AL29" s="151"/>
    </row>
    <row r="30" spans="1:38" ht="12.75">
      <c r="A30" s="11"/>
      <c r="B30" s="11"/>
      <c r="C30" s="11"/>
      <c r="D30" s="12" t="s">
        <v>53</v>
      </c>
      <c r="E30" s="12"/>
      <c r="F30" s="12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5"/>
      <c r="AC30" s="185"/>
      <c r="AD30" s="151"/>
      <c r="AE30" s="151"/>
      <c r="AF30" s="151"/>
      <c r="AG30" s="151"/>
      <c r="AH30" s="151"/>
      <c r="AI30" s="151"/>
      <c r="AJ30" s="151"/>
      <c r="AK30" s="151"/>
      <c r="AL30" s="151"/>
    </row>
    <row r="31" spans="1:38" ht="12.75">
      <c r="A31" s="11"/>
      <c r="B31" s="11"/>
      <c r="C31" s="11"/>
      <c r="D31" s="12" t="s">
        <v>54</v>
      </c>
      <c r="E31" s="12"/>
      <c r="F31" s="12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5"/>
      <c r="AC31" s="185"/>
      <c r="AD31" s="151"/>
      <c r="AE31" s="151"/>
      <c r="AF31" s="151"/>
      <c r="AG31" s="151"/>
      <c r="AH31" s="151"/>
      <c r="AI31" s="151"/>
      <c r="AJ31" s="151"/>
      <c r="AK31" s="151"/>
      <c r="AL31" s="151"/>
    </row>
    <row r="32" spans="1:38" ht="12.75">
      <c r="A32" s="11"/>
      <c r="B32" s="11"/>
      <c r="C32" s="11"/>
      <c r="D32" s="12" t="s">
        <v>55</v>
      </c>
      <c r="E32" s="12"/>
      <c r="F32" s="12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5"/>
      <c r="AC32" s="185"/>
      <c r="AD32" s="151"/>
      <c r="AE32" s="151"/>
      <c r="AF32" s="151"/>
      <c r="AG32" s="151"/>
      <c r="AH32" s="151"/>
      <c r="AI32" s="151"/>
      <c r="AJ32" s="151"/>
      <c r="AK32" s="151"/>
      <c r="AL32" s="151"/>
    </row>
    <row r="33" spans="1:38" ht="12.75">
      <c r="A33" s="11"/>
      <c r="B33" s="11"/>
      <c r="C33" s="11"/>
      <c r="D33" s="12" t="s">
        <v>56</v>
      </c>
      <c r="E33" s="12"/>
      <c r="F33" s="12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5"/>
      <c r="AC33" s="185"/>
      <c r="AD33" s="151"/>
      <c r="AE33" s="151"/>
      <c r="AF33" s="151"/>
      <c r="AG33" s="151"/>
      <c r="AH33" s="151"/>
      <c r="AI33" s="151"/>
      <c r="AJ33" s="151"/>
      <c r="AK33" s="151"/>
      <c r="AL33" s="151"/>
    </row>
    <row r="34" spans="1:38" ht="12.75">
      <c r="A34" s="11"/>
      <c r="B34" s="11"/>
      <c r="C34" s="11"/>
      <c r="D34" s="102" t="s">
        <v>57</v>
      </c>
      <c r="E34" s="102"/>
      <c r="F34" s="102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5"/>
      <c r="AC34" s="185"/>
      <c r="AD34" s="151"/>
      <c r="AE34" s="151"/>
      <c r="AF34" s="151"/>
      <c r="AG34" s="151"/>
      <c r="AH34" s="151"/>
      <c r="AI34" s="151"/>
      <c r="AJ34" s="151"/>
      <c r="AK34" s="151"/>
      <c r="AL34" s="151"/>
    </row>
    <row r="35" spans="1:38" ht="19.5" customHeight="1">
      <c r="A35" s="14" t="s">
        <v>8</v>
      </c>
      <c r="B35" s="15" t="s">
        <v>9</v>
      </c>
      <c r="C35" s="80"/>
      <c r="D35" s="57" t="s">
        <v>27</v>
      </c>
      <c r="E35" s="58" t="s">
        <v>9</v>
      </c>
      <c r="F35" s="59" t="s">
        <v>10</v>
      </c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5"/>
      <c r="AC35" s="185"/>
      <c r="AD35" s="151"/>
      <c r="AE35" s="151"/>
      <c r="AF35" s="151"/>
      <c r="AG35" s="151"/>
      <c r="AH35" s="151"/>
      <c r="AI35" s="151"/>
      <c r="AJ35" s="151"/>
      <c r="AK35" s="151"/>
      <c r="AL35" s="151"/>
    </row>
    <row r="36" spans="1:38" ht="12.75">
      <c r="A36" s="81" t="s">
        <v>12</v>
      </c>
      <c r="B36" s="82" t="s">
        <v>13</v>
      </c>
      <c r="C36" s="22" t="s">
        <v>10</v>
      </c>
      <c r="D36" s="64" t="s">
        <v>30</v>
      </c>
      <c r="E36" s="65" t="s">
        <v>13</v>
      </c>
      <c r="F36" s="66" t="s">
        <v>12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5"/>
      <c r="AC36" s="185"/>
      <c r="AD36" s="151"/>
      <c r="AE36" s="151"/>
      <c r="AF36" s="151"/>
      <c r="AG36" s="151"/>
      <c r="AH36" s="151"/>
      <c r="AI36" s="151"/>
      <c r="AJ36" s="151"/>
      <c r="AK36" s="151"/>
      <c r="AL36" s="151"/>
    </row>
    <row r="37" spans="1:38" ht="19.5" customHeight="1">
      <c r="A37" s="103" t="s">
        <v>16</v>
      </c>
      <c r="B37" s="27" t="s">
        <v>17</v>
      </c>
      <c r="C37" s="104" t="s">
        <v>33</v>
      </c>
      <c r="D37" s="68" t="s">
        <v>33</v>
      </c>
      <c r="E37" s="69" t="s">
        <v>17</v>
      </c>
      <c r="F37" s="84" t="s">
        <v>16</v>
      </c>
      <c r="G37" s="183"/>
      <c r="H37" s="183"/>
      <c r="I37" s="183" t="s">
        <v>84</v>
      </c>
      <c r="J37" s="183" t="s">
        <v>88</v>
      </c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5"/>
      <c r="AC37" s="185"/>
      <c r="AD37" s="151"/>
      <c r="AE37" s="151"/>
      <c r="AF37" s="151"/>
      <c r="AG37" s="151"/>
      <c r="AH37" s="151"/>
      <c r="AI37" s="151"/>
      <c r="AJ37" s="151"/>
      <c r="AK37" s="151"/>
      <c r="AL37" s="151"/>
    </row>
    <row r="38" spans="1:38" ht="19.5" customHeight="1">
      <c r="A38" s="106">
        <v>5000</v>
      </c>
      <c r="B38" s="107">
        <v>16</v>
      </c>
      <c r="C38" s="34">
        <f>(80000/(B38*A38))*2</f>
        <v>2</v>
      </c>
      <c r="D38" s="87">
        <v>2</v>
      </c>
      <c r="E38" s="88">
        <v>16</v>
      </c>
      <c r="F38" s="75">
        <f>SQRT(I38*J38)</f>
        <v>5000</v>
      </c>
      <c r="G38" s="187"/>
      <c r="H38" s="183"/>
      <c r="I38" s="183">
        <f>80000/(E38*(D38/2))</f>
        <v>5000</v>
      </c>
      <c r="J38" s="183">
        <f>(80*E38)/(D40/2)</f>
        <v>5000</v>
      </c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5"/>
      <c r="AC38" s="185"/>
      <c r="AD38" s="151"/>
      <c r="AE38" s="151"/>
      <c r="AF38" s="151"/>
      <c r="AG38" s="151"/>
      <c r="AH38" s="151"/>
      <c r="AI38" s="151"/>
      <c r="AJ38" s="151"/>
      <c r="AK38" s="151"/>
      <c r="AL38" s="151"/>
    </row>
    <row r="39" spans="1:38" ht="19.5" customHeight="1">
      <c r="A39" s="89"/>
      <c r="B39" s="90"/>
      <c r="C39" s="91" t="s">
        <v>37</v>
      </c>
      <c r="D39" s="92" t="s">
        <v>37</v>
      </c>
      <c r="E39" s="93"/>
      <c r="F39" s="188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5"/>
      <c r="AC39" s="185"/>
      <c r="AD39" s="151"/>
      <c r="AE39" s="151"/>
      <c r="AF39" s="151"/>
      <c r="AG39" s="151"/>
      <c r="AH39" s="151"/>
      <c r="AI39" s="151"/>
      <c r="AJ39" s="151"/>
      <c r="AK39" s="151"/>
      <c r="AL39" s="151"/>
    </row>
    <row r="40" spans="1:38" ht="19.5" customHeight="1">
      <c r="A40" s="89"/>
      <c r="B40" s="90"/>
      <c r="C40" s="34">
        <f>((80*B38)/A38)*2</f>
        <v>0.512</v>
      </c>
      <c r="D40" s="87">
        <v>0.512</v>
      </c>
      <c r="E40" s="109" t="s">
        <v>60</v>
      </c>
      <c r="F40" s="75">
        <f>AVERAGE(I38:J38)</f>
        <v>5000</v>
      </c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5"/>
      <c r="AC40" s="185"/>
      <c r="AD40" s="151"/>
      <c r="AE40" s="151"/>
      <c r="AF40" s="151"/>
      <c r="AG40" s="151"/>
      <c r="AH40" s="151"/>
      <c r="AI40" s="151"/>
      <c r="AJ40" s="151"/>
      <c r="AK40" s="151"/>
      <c r="AL40" s="151"/>
    </row>
    <row r="41" spans="1:38" ht="12.75">
      <c r="A41" s="11"/>
      <c r="B41" s="11"/>
      <c r="C41" s="11"/>
      <c r="D41" s="47"/>
      <c r="E41" s="11"/>
      <c r="F41" s="49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5"/>
      <c r="AC41" s="185"/>
      <c r="AD41" s="151"/>
      <c r="AE41" s="151"/>
      <c r="AF41" s="151"/>
      <c r="AG41" s="151"/>
      <c r="AH41" s="151"/>
      <c r="AI41" s="151"/>
      <c r="AJ41" s="151"/>
      <c r="AK41" s="151"/>
      <c r="AL41" s="151"/>
    </row>
    <row r="42" spans="1:38" ht="29.25">
      <c r="A42" s="114" t="s">
        <v>62</v>
      </c>
      <c r="B42" s="114"/>
      <c r="C42" s="114"/>
      <c r="D42" s="114"/>
      <c r="E42" s="114"/>
      <c r="F42" s="114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5"/>
      <c r="AC42" s="185"/>
      <c r="AD42" s="151"/>
      <c r="AE42" s="151"/>
      <c r="AF42" s="151"/>
      <c r="AG42" s="151"/>
      <c r="AH42" s="151"/>
      <c r="AI42" s="151"/>
      <c r="AJ42" s="151"/>
      <c r="AK42" s="151"/>
      <c r="AL42" s="151"/>
    </row>
    <row r="43" spans="1:38" ht="17.25">
      <c r="A43" s="115" t="s">
        <v>3</v>
      </c>
      <c r="B43" s="115"/>
      <c r="C43" s="115"/>
      <c r="D43" s="116" t="s">
        <v>4</v>
      </c>
      <c r="E43" s="116"/>
      <c r="F43" s="116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5"/>
      <c r="AC43" s="185"/>
      <c r="AD43" s="151"/>
      <c r="AE43" s="151"/>
      <c r="AF43" s="151"/>
      <c r="AG43" s="151"/>
      <c r="AH43" s="151"/>
      <c r="AI43" s="151"/>
      <c r="AJ43" s="151"/>
      <c r="AK43" s="151"/>
      <c r="AL43" s="151"/>
    </row>
    <row r="44" spans="1:38" ht="12.75">
      <c r="A44" s="11"/>
      <c r="B44" s="11"/>
      <c r="C44" s="11"/>
      <c r="D44" s="12"/>
      <c r="E44" s="12"/>
      <c r="F44" s="12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5"/>
      <c r="AC44" s="185"/>
      <c r="AD44" s="151"/>
      <c r="AE44" s="151"/>
      <c r="AF44" s="151"/>
      <c r="AG44" s="151"/>
      <c r="AH44" s="151"/>
      <c r="AI44" s="151"/>
      <c r="AJ44" s="151"/>
      <c r="AK44" s="151"/>
      <c r="AL44" s="151"/>
    </row>
    <row r="45" spans="1:38" ht="12.75">
      <c r="A45" s="11"/>
      <c r="B45" s="11"/>
      <c r="C45" s="11"/>
      <c r="D45" s="12" t="s">
        <v>63</v>
      </c>
      <c r="E45" s="12"/>
      <c r="F45" s="1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5"/>
      <c r="AC45" s="185"/>
      <c r="AD45" s="151"/>
      <c r="AE45" s="151"/>
      <c r="AF45" s="151"/>
      <c r="AG45" s="151"/>
      <c r="AH45" s="151"/>
      <c r="AI45" s="151"/>
      <c r="AJ45" s="151"/>
      <c r="AK45" s="151"/>
      <c r="AL45" s="151"/>
    </row>
    <row r="46" spans="1:38" ht="12.75">
      <c r="A46" s="11"/>
      <c r="B46" s="11"/>
      <c r="C46" s="11"/>
      <c r="D46" s="12" t="s">
        <v>106</v>
      </c>
      <c r="E46" s="12"/>
      <c r="F46" s="12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5"/>
      <c r="AC46" s="185"/>
      <c r="AD46" s="151"/>
      <c r="AE46" s="151"/>
      <c r="AF46" s="151"/>
      <c r="AG46" s="151"/>
      <c r="AH46" s="151"/>
      <c r="AI46" s="151"/>
      <c r="AJ46" s="151"/>
      <c r="AK46" s="151"/>
      <c r="AL46" s="151"/>
    </row>
    <row r="47" spans="1:38" ht="12.75">
      <c r="A47" s="11"/>
      <c r="B47" s="11"/>
      <c r="C47" s="11"/>
      <c r="D47" s="12" t="s">
        <v>107</v>
      </c>
      <c r="E47" s="12"/>
      <c r="F47" s="12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5"/>
      <c r="AC47" s="185"/>
      <c r="AD47" s="151"/>
      <c r="AE47" s="151"/>
      <c r="AF47" s="151"/>
      <c r="AG47" s="151"/>
      <c r="AH47" s="151"/>
      <c r="AI47" s="151"/>
      <c r="AJ47" s="151"/>
      <c r="AK47" s="151"/>
      <c r="AL47" s="151"/>
    </row>
    <row r="48" spans="1:38" ht="12.75">
      <c r="A48" s="11"/>
      <c r="B48" s="11"/>
      <c r="C48" s="11"/>
      <c r="D48" s="117" t="s">
        <v>108</v>
      </c>
      <c r="E48" s="117"/>
      <c r="F48" s="117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5"/>
      <c r="AC48" s="185"/>
      <c r="AD48" s="151"/>
      <c r="AE48" s="151"/>
      <c r="AF48" s="151"/>
      <c r="AG48" s="151"/>
      <c r="AH48" s="151"/>
      <c r="AI48" s="151"/>
      <c r="AJ48" s="151"/>
      <c r="AK48" s="151"/>
      <c r="AL48" s="151"/>
    </row>
    <row r="49" spans="1:38" ht="12.75">
      <c r="A49" s="11"/>
      <c r="B49" s="11"/>
      <c r="C49" s="11"/>
      <c r="D49" s="12"/>
      <c r="E49" s="12"/>
      <c r="F49" s="12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5"/>
      <c r="AC49" s="185"/>
      <c r="AD49" s="151"/>
      <c r="AE49" s="151"/>
      <c r="AF49" s="151"/>
      <c r="AG49" s="151"/>
      <c r="AH49" s="151"/>
      <c r="AI49" s="151"/>
      <c r="AJ49" s="151"/>
      <c r="AK49" s="151"/>
      <c r="AL49" s="151"/>
    </row>
    <row r="50" spans="1:38" ht="12.75">
      <c r="A50" s="11"/>
      <c r="B50" s="11"/>
      <c r="C50" s="11"/>
      <c r="D50" s="117"/>
      <c r="E50" s="117"/>
      <c r="F50" s="117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5"/>
      <c r="AC50" s="185"/>
      <c r="AD50" s="151"/>
      <c r="AE50" s="151"/>
      <c r="AF50" s="151"/>
      <c r="AG50" s="151"/>
      <c r="AH50" s="151"/>
      <c r="AI50" s="151"/>
      <c r="AJ50" s="151"/>
      <c r="AK50" s="151"/>
      <c r="AL50" s="151"/>
    </row>
    <row r="51" spans="1:38" ht="12.75">
      <c r="A51" s="11"/>
      <c r="B51" s="11"/>
      <c r="C51" s="11"/>
      <c r="D51" s="12"/>
      <c r="E51" s="12"/>
      <c r="F51" s="12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5"/>
      <c r="AC51" s="185"/>
      <c r="AD51" s="151"/>
      <c r="AE51" s="151"/>
      <c r="AF51" s="151"/>
      <c r="AG51" s="151"/>
      <c r="AH51" s="151"/>
      <c r="AI51" s="151"/>
      <c r="AJ51" s="151"/>
      <c r="AK51" s="151"/>
      <c r="AL51" s="151"/>
    </row>
    <row r="52" spans="1:38" ht="12.75">
      <c r="A52" s="11"/>
      <c r="B52" s="11"/>
      <c r="C52" s="11"/>
      <c r="D52" s="12"/>
      <c r="E52" s="12"/>
      <c r="F52" s="12"/>
      <c r="G52" s="183"/>
      <c r="H52" s="183"/>
      <c r="I52" s="183"/>
      <c r="J52" s="189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5"/>
      <c r="AC52" s="185"/>
      <c r="AD52" s="151"/>
      <c r="AE52" s="151"/>
      <c r="AF52" s="151"/>
      <c r="AG52" s="151"/>
      <c r="AH52" s="151"/>
      <c r="AI52" s="151"/>
      <c r="AJ52" s="151"/>
      <c r="AK52" s="151"/>
      <c r="AL52" s="151"/>
    </row>
    <row r="53" spans="1:38" ht="12.75">
      <c r="A53" s="11"/>
      <c r="B53" s="11"/>
      <c r="C53" s="11"/>
      <c r="D53" s="12"/>
      <c r="E53" s="12"/>
      <c r="F53" s="12"/>
      <c r="G53" s="183"/>
      <c r="H53" s="183"/>
      <c r="I53" s="183"/>
      <c r="J53" s="183"/>
      <c r="K53" s="183"/>
      <c r="L53" s="184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5"/>
      <c r="AC53" s="185"/>
      <c r="AD53" s="151"/>
      <c r="AE53" s="151"/>
      <c r="AF53" s="151"/>
      <c r="AG53" s="151"/>
      <c r="AH53" s="151"/>
      <c r="AI53" s="151"/>
      <c r="AJ53" s="151"/>
      <c r="AK53" s="151"/>
      <c r="AL53" s="151"/>
    </row>
    <row r="54" spans="1:38" ht="12.75">
      <c r="A54" s="11"/>
      <c r="B54" s="11"/>
      <c r="C54" s="11"/>
      <c r="D54" s="12"/>
      <c r="E54" s="12"/>
      <c r="F54" s="12"/>
      <c r="G54" s="183"/>
      <c r="H54" s="183"/>
      <c r="I54" s="183"/>
      <c r="J54" s="183"/>
      <c r="K54" s="183"/>
      <c r="L54" s="184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5"/>
      <c r="AC54" s="185"/>
      <c r="AD54" s="151"/>
      <c r="AE54" s="151"/>
      <c r="AF54" s="151"/>
      <c r="AG54" s="151"/>
      <c r="AH54" s="151"/>
      <c r="AI54" s="151"/>
      <c r="AJ54" s="151"/>
      <c r="AK54" s="151"/>
      <c r="AL54" s="151"/>
    </row>
    <row r="55" spans="1:38" ht="12.75">
      <c r="A55" s="11"/>
      <c r="B55" s="11"/>
      <c r="C55" s="11"/>
      <c r="D55" s="12"/>
      <c r="E55" s="12"/>
      <c r="F55" s="12"/>
      <c r="G55" s="183"/>
      <c r="H55" s="183"/>
      <c r="I55" s="183"/>
      <c r="J55" s="183"/>
      <c r="K55" s="189"/>
      <c r="L55" s="186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5"/>
      <c r="AC55" s="185"/>
      <c r="AD55" s="151"/>
      <c r="AE55" s="151"/>
      <c r="AF55" s="151"/>
      <c r="AG55" s="151"/>
      <c r="AH55" s="151"/>
      <c r="AI55" s="151"/>
      <c r="AJ55" s="151"/>
      <c r="AK55" s="151"/>
      <c r="AL55" s="151"/>
    </row>
    <row r="56" spans="1:38" ht="19.5" customHeight="1">
      <c r="A56" s="14" t="s">
        <v>8</v>
      </c>
      <c r="B56" s="15" t="s">
        <v>9</v>
      </c>
      <c r="C56" s="80"/>
      <c r="D56" s="57" t="s">
        <v>27</v>
      </c>
      <c r="E56" s="58" t="s">
        <v>9</v>
      </c>
      <c r="F56" s="59" t="s">
        <v>28</v>
      </c>
      <c r="G56" s="183"/>
      <c r="H56" s="183"/>
      <c r="I56" s="189" t="s">
        <v>109</v>
      </c>
      <c r="J56" s="183">
        <f>(320*E59)/(D59*2)</f>
        <v>854.4726301735648</v>
      </c>
      <c r="K56" s="189"/>
      <c r="L56" s="190" t="s">
        <v>110</v>
      </c>
      <c r="M56" s="183"/>
      <c r="N56" s="191" t="s">
        <v>111</v>
      </c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5"/>
      <c r="AC56" s="185"/>
      <c r="AD56" s="151"/>
      <c r="AE56" s="151"/>
      <c r="AF56" s="151"/>
      <c r="AG56" s="151"/>
      <c r="AH56" s="151"/>
      <c r="AI56" s="151"/>
      <c r="AJ56" s="151"/>
      <c r="AK56" s="151"/>
      <c r="AL56" s="151"/>
    </row>
    <row r="57" spans="1:38" ht="12.75">
      <c r="A57" s="81" t="s">
        <v>12</v>
      </c>
      <c r="B57" s="82" t="s">
        <v>13</v>
      </c>
      <c r="C57" s="22" t="s">
        <v>10</v>
      </c>
      <c r="D57" s="64" t="s">
        <v>30</v>
      </c>
      <c r="E57" s="65" t="s">
        <v>13</v>
      </c>
      <c r="F57" s="66" t="s">
        <v>31</v>
      </c>
      <c r="G57" s="183"/>
      <c r="H57" s="183"/>
      <c r="I57" s="189" t="s">
        <v>112</v>
      </c>
      <c r="J57" s="183">
        <f>320000/(E59*(D65*2))</f>
        <v>3418.2191078448127</v>
      </c>
      <c r="K57" s="183"/>
      <c r="L57" s="183">
        <f>AVERAGE(J56:J57)</f>
        <v>2136.345869009189</v>
      </c>
      <c r="M57" s="183"/>
      <c r="N57" s="183">
        <f>POWER(L57,2)+(4*L60)</f>
        <v>6989519.691109355</v>
      </c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5"/>
      <c r="AC57" s="185"/>
      <c r="AD57" s="151"/>
      <c r="AE57" s="151"/>
      <c r="AF57" s="151"/>
      <c r="AG57" s="151"/>
      <c r="AH57" s="151"/>
      <c r="AI57" s="151"/>
      <c r="AJ57" s="151"/>
      <c r="AK57" s="151"/>
      <c r="AL57" s="151"/>
    </row>
    <row r="58" spans="1:38" ht="19.5" customHeight="1">
      <c r="A58" s="83" t="s">
        <v>32</v>
      </c>
      <c r="B58" s="27" t="s">
        <v>17</v>
      </c>
      <c r="C58" s="104" t="s">
        <v>71</v>
      </c>
      <c r="D58" s="68" t="s">
        <v>71</v>
      </c>
      <c r="E58" s="69" t="s">
        <v>17</v>
      </c>
      <c r="F58" s="84" t="s">
        <v>34</v>
      </c>
      <c r="G58" s="183"/>
      <c r="H58" s="183"/>
      <c r="I58" s="183"/>
      <c r="J58" s="183"/>
      <c r="K58" s="183"/>
      <c r="L58" s="184"/>
      <c r="M58" s="184"/>
      <c r="N58" s="183"/>
      <c r="O58" s="189" t="s">
        <v>113</v>
      </c>
      <c r="P58" s="183">
        <f>(-L57+SQRT(N57))/2</f>
        <v>253.71205397864674</v>
      </c>
      <c r="Q58" s="189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5"/>
      <c r="AC58" s="185"/>
      <c r="AD58" s="151"/>
      <c r="AE58" s="151"/>
      <c r="AF58" s="151"/>
      <c r="AG58" s="151"/>
      <c r="AH58" s="151"/>
      <c r="AI58" s="151"/>
      <c r="AJ58" s="151"/>
      <c r="AK58" s="151"/>
      <c r="AL58" s="151"/>
    </row>
    <row r="59" spans="1:38" ht="19.5" customHeight="1">
      <c r="A59" s="106">
        <v>300</v>
      </c>
      <c r="B59" s="119">
        <v>8</v>
      </c>
      <c r="C59" s="34">
        <f>((320*B59)/(A61-A59))/2</f>
        <v>0.7529411764705882</v>
      </c>
      <c r="D59" s="87">
        <v>1.498</v>
      </c>
      <c r="E59" s="88">
        <v>8</v>
      </c>
      <c r="F59" s="75">
        <f>P58</f>
        <v>253.71205397864674</v>
      </c>
      <c r="G59" s="183"/>
      <c r="H59" s="183"/>
      <c r="I59" s="189" t="s">
        <v>114</v>
      </c>
      <c r="J59" s="183">
        <f>(80000*J56)/(E59*(D61/2))</f>
        <v>606352.9876338097</v>
      </c>
      <c r="K59" s="183"/>
      <c r="L59" s="190" t="s">
        <v>115</v>
      </c>
      <c r="M59" s="184"/>
      <c r="N59" s="183"/>
      <c r="O59" s="189" t="s">
        <v>116</v>
      </c>
      <c r="P59" s="183">
        <f>(-L57-SQRT(N57))/2</f>
        <v>-2390.057922987836</v>
      </c>
      <c r="Q59" s="189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5"/>
      <c r="AC59" s="185"/>
      <c r="AD59" s="151"/>
      <c r="AE59" s="151"/>
      <c r="AF59" s="151"/>
      <c r="AG59" s="151"/>
      <c r="AH59" s="151"/>
      <c r="AI59" s="151"/>
      <c r="AJ59" s="151"/>
      <c r="AK59" s="151"/>
      <c r="AL59" s="151"/>
    </row>
    <row r="60" spans="1:38" ht="19.5" customHeight="1">
      <c r="A60" s="89" t="s">
        <v>36</v>
      </c>
      <c r="B60" s="120"/>
      <c r="C60" s="91" t="s">
        <v>76</v>
      </c>
      <c r="D60" s="92" t="s">
        <v>76</v>
      </c>
      <c r="E60" s="93"/>
      <c r="F60" s="94" t="s">
        <v>38</v>
      </c>
      <c r="G60" s="183"/>
      <c r="H60" s="183"/>
      <c r="I60" s="189" t="s">
        <v>117</v>
      </c>
      <c r="J60" s="183">
        <f>(80*E59*J57)/(D63/2)</f>
        <v>606420.0219045545</v>
      </c>
      <c r="K60" s="183"/>
      <c r="L60" s="183">
        <f>AVERAGE(J59:J60)</f>
        <v>606386.5047691821</v>
      </c>
      <c r="M60" s="183"/>
      <c r="N60" s="183"/>
      <c r="O60" s="189" t="s">
        <v>118</v>
      </c>
      <c r="P60" s="183">
        <f>(L57+SQRT(N57))/2</f>
        <v>2390.057922987836</v>
      </c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5"/>
      <c r="AC60" s="185"/>
      <c r="AD60" s="151"/>
      <c r="AE60" s="151"/>
      <c r="AF60" s="151"/>
      <c r="AG60" s="151"/>
      <c r="AH60" s="151"/>
      <c r="AI60" s="151"/>
      <c r="AJ60" s="151"/>
      <c r="AK60" s="151"/>
      <c r="AL60" s="151"/>
    </row>
    <row r="61" spans="1:38" ht="19.5" customHeight="1">
      <c r="A61" s="106">
        <v>2000</v>
      </c>
      <c r="B61" s="120"/>
      <c r="C61" s="34">
        <f>((80000*(A61-A59))/(B59*(A61*A59)))*2</f>
        <v>56.666666666666664</v>
      </c>
      <c r="D61" s="87">
        <v>28.184</v>
      </c>
      <c r="E61" s="93"/>
      <c r="F61" s="75">
        <f>P60</f>
        <v>2390.057922987836</v>
      </c>
      <c r="G61" s="183"/>
      <c r="H61" s="183"/>
      <c r="I61" s="183"/>
      <c r="J61" s="183"/>
      <c r="K61" s="183"/>
      <c r="L61" s="184"/>
      <c r="M61" s="183"/>
      <c r="N61" s="183"/>
      <c r="O61" s="189" t="s">
        <v>119</v>
      </c>
      <c r="P61" s="183">
        <f>(L57-SQRT(N57))/2</f>
        <v>-253.71205397864674</v>
      </c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5"/>
      <c r="AC61" s="185"/>
      <c r="AD61" s="151"/>
      <c r="AE61" s="151"/>
      <c r="AF61" s="151"/>
      <c r="AG61" s="151"/>
      <c r="AH61" s="151"/>
      <c r="AI61" s="151"/>
      <c r="AJ61" s="151"/>
      <c r="AK61" s="151"/>
      <c r="AL61" s="151"/>
    </row>
    <row r="62" spans="1:38" ht="19.5" customHeight="1">
      <c r="A62" s="89"/>
      <c r="B62" s="120"/>
      <c r="C62" s="91" t="s">
        <v>77</v>
      </c>
      <c r="D62" s="92" t="s">
        <v>77</v>
      </c>
      <c r="E62" s="93"/>
      <c r="F62" s="121"/>
      <c r="G62" s="183"/>
      <c r="H62" s="183"/>
      <c r="I62" s="183"/>
      <c r="J62" s="183"/>
      <c r="K62" s="183"/>
      <c r="L62" s="184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5"/>
      <c r="AC62" s="185"/>
      <c r="AD62" s="151"/>
      <c r="AE62" s="151"/>
      <c r="AF62" s="151"/>
      <c r="AG62" s="151"/>
      <c r="AH62" s="151"/>
      <c r="AI62" s="151"/>
      <c r="AJ62" s="151"/>
      <c r="AK62" s="151"/>
      <c r="AL62" s="151"/>
    </row>
    <row r="63" spans="1:38" ht="19.5" customHeight="1">
      <c r="A63" s="89"/>
      <c r="B63" s="120"/>
      <c r="C63" s="122">
        <f>((80*B59*(A61-A59))/(A61*A59))*2</f>
        <v>3.6266666666666665</v>
      </c>
      <c r="D63" s="87">
        <v>7.215</v>
      </c>
      <c r="E63" s="93"/>
      <c r="F63" s="121"/>
      <c r="G63" s="183"/>
      <c r="H63" s="183"/>
      <c r="I63" s="183"/>
      <c r="J63" s="183"/>
      <c r="K63" s="189"/>
      <c r="L63" s="186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5"/>
      <c r="AC63" s="185"/>
      <c r="AD63" s="151"/>
      <c r="AE63" s="151"/>
      <c r="AF63" s="151"/>
      <c r="AG63" s="151"/>
      <c r="AH63" s="151"/>
      <c r="AI63" s="151"/>
      <c r="AJ63" s="151"/>
      <c r="AK63" s="151"/>
      <c r="AL63" s="151"/>
    </row>
    <row r="64" spans="1:38" ht="19.5" customHeight="1">
      <c r="A64" s="89"/>
      <c r="B64" s="120"/>
      <c r="C64" s="91" t="s">
        <v>79</v>
      </c>
      <c r="D64" s="92" t="s">
        <v>79</v>
      </c>
      <c r="E64" s="93"/>
      <c r="F64" s="121"/>
      <c r="G64" s="183"/>
      <c r="H64" s="183"/>
      <c r="I64" s="183"/>
      <c r="J64" s="183"/>
      <c r="K64" s="189"/>
      <c r="L64" s="186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5"/>
      <c r="AC64" s="185"/>
      <c r="AD64" s="151"/>
      <c r="AE64" s="151"/>
      <c r="AF64" s="151"/>
      <c r="AG64" s="151"/>
      <c r="AH64" s="151"/>
      <c r="AI64" s="151"/>
      <c r="AJ64" s="151"/>
      <c r="AK64" s="151"/>
      <c r="AL64" s="151"/>
    </row>
    <row r="65" spans="1:38" ht="19.5" customHeight="1">
      <c r="A65" s="89"/>
      <c r="B65" s="120"/>
      <c r="C65" s="122">
        <f>(320000/(B59*(A61-A59)))/2</f>
        <v>11.764705882352942</v>
      </c>
      <c r="D65" s="87">
        <v>5.851</v>
      </c>
      <c r="E65" s="93"/>
      <c r="F65" s="121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5"/>
      <c r="AC65" s="185"/>
      <c r="AD65" s="151"/>
      <c r="AE65" s="151"/>
      <c r="AF65" s="151"/>
      <c r="AG65" s="151"/>
      <c r="AH65" s="151"/>
      <c r="AI65" s="151"/>
      <c r="AJ65" s="151"/>
      <c r="AK65" s="151"/>
      <c r="AL65" s="151"/>
    </row>
    <row r="66" spans="1:38" ht="12.75">
      <c r="A66" s="10"/>
      <c r="B66" s="11"/>
      <c r="C66" s="11"/>
      <c r="D66" s="47"/>
      <c r="E66" s="11"/>
      <c r="F66" s="49"/>
      <c r="G66" s="183"/>
      <c r="H66" s="183"/>
      <c r="I66" s="183"/>
      <c r="J66" s="183"/>
      <c r="K66" s="183"/>
      <c r="L66" s="184"/>
      <c r="M66" s="184"/>
      <c r="N66" s="183"/>
      <c r="O66" s="189"/>
      <c r="P66" s="183"/>
      <c r="Q66" s="189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5"/>
      <c r="AC66" s="185"/>
      <c r="AD66" s="151"/>
      <c r="AE66" s="151"/>
      <c r="AF66" s="151"/>
      <c r="AG66" s="151"/>
      <c r="AH66" s="151"/>
      <c r="AI66" s="151"/>
      <c r="AJ66" s="151"/>
      <c r="AK66" s="151"/>
      <c r="AL66" s="151"/>
    </row>
    <row r="67" spans="1:38" ht="29.25">
      <c r="A67" s="123" t="s">
        <v>81</v>
      </c>
      <c r="B67" s="123"/>
      <c r="C67" s="123"/>
      <c r="D67" s="123"/>
      <c r="E67" s="123"/>
      <c r="F67" s="123"/>
      <c r="G67" s="183"/>
      <c r="H67" s="183"/>
      <c r="I67" s="183"/>
      <c r="J67" s="183"/>
      <c r="K67" s="183"/>
      <c r="L67" s="184"/>
      <c r="M67" s="184"/>
      <c r="N67" s="183"/>
      <c r="O67" s="189"/>
      <c r="P67" s="183"/>
      <c r="Q67" s="189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5"/>
      <c r="AC67" s="185"/>
      <c r="AD67" s="151"/>
      <c r="AE67" s="151"/>
      <c r="AF67" s="151"/>
      <c r="AG67" s="151"/>
      <c r="AH67" s="151"/>
      <c r="AI67" s="151"/>
      <c r="AJ67" s="151"/>
      <c r="AK67" s="151"/>
      <c r="AL67" s="151"/>
    </row>
    <row r="68" spans="1:38" ht="17.25">
      <c r="A68" s="124" t="s">
        <v>3</v>
      </c>
      <c r="B68" s="124"/>
      <c r="C68" s="124"/>
      <c r="D68" s="125" t="s">
        <v>4</v>
      </c>
      <c r="E68" s="125"/>
      <c r="F68" s="125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5"/>
      <c r="AC68" s="185"/>
      <c r="AD68" s="151"/>
      <c r="AE68" s="151"/>
      <c r="AF68" s="151"/>
      <c r="AG68" s="151"/>
      <c r="AH68" s="151"/>
      <c r="AI68" s="151"/>
      <c r="AJ68" s="151"/>
      <c r="AK68" s="151"/>
      <c r="AL68" s="151"/>
    </row>
    <row r="69" spans="1:38" ht="12.75">
      <c r="A69" s="10"/>
      <c r="B69" s="11"/>
      <c r="C69" s="11"/>
      <c r="D69" s="47"/>
      <c r="E69" s="11"/>
      <c r="F69" s="49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5"/>
      <c r="AC69" s="185"/>
      <c r="AD69" s="151"/>
      <c r="AE69" s="151"/>
      <c r="AF69" s="151"/>
      <c r="AG69" s="151"/>
      <c r="AH69" s="151"/>
      <c r="AI69" s="151"/>
      <c r="AJ69" s="151"/>
      <c r="AK69" s="151"/>
      <c r="AL69" s="151"/>
    </row>
    <row r="70" spans="1:38" ht="12.75">
      <c r="A70" s="10"/>
      <c r="B70" s="11"/>
      <c r="C70" s="11"/>
      <c r="D70" s="12" t="s">
        <v>63</v>
      </c>
      <c r="E70" s="12"/>
      <c r="F70" s="12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5"/>
      <c r="AC70" s="185"/>
      <c r="AD70" s="151"/>
      <c r="AE70" s="151"/>
      <c r="AF70" s="151"/>
      <c r="AG70" s="151"/>
      <c r="AH70" s="151"/>
      <c r="AI70" s="151"/>
      <c r="AJ70" s="151"/>
      <c r="AK70" s="151"/>
      <c r="AL70" s="151"/>
    </row>
    <row r="71" spans="1:38" ht="12.75">
      <c r="A71" s="10"/>
      <c r="B71" s="11"/>
      <c r="C71" s="11"/>
      <c r="D71" s="12" t="s">
        <v>106</v>
      </c>
      <c r="E71" s="12"/>
      <c r="F71" s="12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5"/>
      <c r="AC71" s="185"/>
      <c r="AD71" s="151"/>
      <c r="AE71" s="151"/>
      <c r="AF71" s="151"/>
      <c r="AG71" s="151"/>
      <c r="AH71" s="151"/>
      <c r="AI71" s="151"/>
      <c r="AJ71" s="151"/>
      <c r="AK71" s="151"/>
      <c r="AL71" s="151"/>
    </row>
    <row r="72" spans="1:38" ht="12.75">
      <c r="A72" s="10"/>
      <c r="B72" s="11"/>
      <c r="C72" s="11"/>
      <c r="D72" s="12" t="s">
        <v>107</v>
      </c>
      <c r="E72" s="12"/>
      <c r="F72" s="12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5"/>
      <c r="AC72" s="185"/>
      <c r="AD72" s="151"/>
      <c r="AE72" s="151"/>
      <c r="AF72" s="151"/>
      <c r="AG72" s="151"/>
      <c r="AH72" s="151"/>
      <c r="AI72" s="151"/>
      <c r="AJ72" s="151"/>
      <c r="AK72" s="151"/>
      <c r="AL72" s="151"/>
    </row>
    <row r="73" spans="1:38" ht="12.75">
      <c r="A73" s="10"/>
      <c r="B73" s="11"/>
      <c r="C73" s="11"/>
      <c r="D73" s="117" t="s">
        <v>108</v>
      </c>
      <c r="E73" s="117"/>
      <c r="F73" s="117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5"/>
      <c r="AC73" s="185"/>
      <c r="AD73" s="151"/>
      <c r="AE73" s="151"/>
      <c r="AF73" s="151"/>
      <c r="AG73" s="151"/>
      <c r="AH73" s="151"/>
      <c r="AI73" s="151"/>
      <c r="AJ73" s="151"/>
      <c r="AK73" s="151"/>
      <c r="AL73" s="151"/>
    </row>
    <row r="74" spans="1:38" ht="12.75">
      <c r="A74" s="10"/>
      <c r="B74" s="11"/>
      <c r="C74" s="11"/>
      <c r="D74" s="47"/>
      <c r="E74" s="11"/>
      <c r="F74" s="49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5"/>
      <c r="AC74" s="185"/>
      <c r="AD74" s="151"/>
      <c r="AE74" s="151"/>
      <c r="AF74" s="151"/>
      <c r="AG74" s="151"/>
      <c r="AH74" s="151"/>
      <c r="AI74" s="151"/>
      <c r="AJ74" s="151"/>
      <c r="AK74" s="151"/>
      <c r="AL74" s="151"/>
    </row>
    <row r="75" spans="1:38" ht="12.75">
      <c r="A75" s="10"/>
      <c r="B75" s="11"/>
      <c r="C75" s="11"/>
      <c r="D75" s="47"/>
      <c r="E75" s="11"/>
      <c r="F75" s="49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5"/>
      <c r="AC75" s="185"/>
      <c r="AD75" s="151"/>
      <c r="AE75" s="151"/>
      <c r="AF75" s="151"/>
      <c r="AG75" s="151"/>
      <c r="AH75" s="151"/>
      <c r="AI75" s="151"/>
      <c r="AJ75" s="151"/>
      <c r="AK75" s="151"/>
      <c r="AL75" s="151"/>
    </row>
    <row r="76" spans="1:38" ht="12.75">
      <c r="A76" s="10"/>
      <c r="B76" s="11"/>
      <c r="C76" s="11"/>
      <c r="D76" s="47"/>
      <c r="E76" s="11"/>
      <c r="F76" s="49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5"/>
      <c r="AC76" s="185"/>
      <c r="AD76" s="151"/>
      <c r="AE76" s="151"/>
      <c r="AF76" s="151"/>
      <c r="AG76" s="151"/>
      <c r="AH76" s="151"/>
      <c r="AI76" s="151"/>
      <c r="AJ76" s="151"/>
      <c r="AK76" s="151"/>
      <c r="AL76" s="151"/>
    </row>
    <row r="77" spans="1:38" ht="12.75">
      <c r="A77" s="10"/>
      <c r="B77" s="11"/>
      <c r="C77" s="11"/>
      <c r="D77" s="47"/>
      <c r="E77" s="11"/>
      <c r="F77" s="49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5"/>
      <c r="AC77" s="185"/>
      <c r="AD77" s="151"/>
      <c r="AE77" s="151"/>
      <c r="AF77" s="151"/>
      <c r="AG77" s="151"/>
      <c r="AH77" s="151"/>
      <c r="AI77" s="151"/>
      <c r="AJ77" s="151"/>
      <c r="AK77" s="151"/>
      <c r="AL77" s="151"/>
    </row>
    <row r="78" spans="1:38" ht="12.75">
      <c r="A78" s="10"/>
      <c r="B78" s="11"/>
      <c r="C78" s="11"/>
      <c r="D78" s="47"/>
      <c r="E78" s="11"/>
      <c r="F78" s="49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5"/>
      <c r="AC78" s="185"/>
      <c r="AD78" s="151"/>
      <c r="AE78" s="151"/>
      <c r="AF78" s="151"/>
      <c r="AG78" s="151"/>
      <c r="AH78" s="151"/>
      <c r="AI78" s="151"/>
      <c r="AJ78" s="151"/>
      <c r="AK78" s="151"/>
      <c r="AL78" s="151"/>
    </row>
    <row r="79" spans="1:38" ht="12.75">
      <c r="A79" s="10"/>
      <c r="B79" s="11"/>
      <c r="C79" s="11"/>
      <c r="D79" s="47"/>
      <c r="E79" s="11"/>
      <c r="F79" s="49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5"/>
      <c r="AC79" s="185"/>
      <c r="AD79" s="151"/>
      <c r="AE79" s="151"/>
      <c r="AF79" s="151"/>
      <c r="AG79" s="151"/>
      <c r="AH79" s="151"/>
      <c r="AI79" s="151"/>
      <c r="AJ79" s="151"/>
      <c r="AK79" s="151"/>
      <c r="AL79" s="151"/>
    </row>
    <row r="80" spans="1:38" ht="19.5" customHeight="1">
      <c r="A80" s="14" t="s">
        <v>8</v>
      </c>
      <c r="B80" s="15" t="s">
        <v>9</v>
      </c>
      <c r="C80" s="80"/>
      <c r="D80" s="57" t="s">
        <v>27</v>
      </c>
      <c r="E80" s="58" t="s">
        <v>9</v>
      </c>
      <c r="F80" s="59" t="s">
        <v>10</v>
      </c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5"/>
      <c r="AC80" s="185"/>
      <c r="AD80" s="151"/>
      <c r="AE80" s="151"/>
      <c r="AF80" s="151"/>
      <c r="AG80" s="151"/>
      <c r="AH80" s="151"/>
      <c r="AI80" s="151"/>
      <c r="AJ80" s="151"/>
      <c r="AK80" s="151"/>
      <c r="AL80" s="151"/>
    </row>
    <row r="81" spans="1:38" ht="12.75">
      <c r="A81" s="81" t="s">
        <v>12</v>
      </c>
      <c r="B81" s="82" t="s">
        <v>13</v>
      </c>
      <c r="C81" s="22" t="s">
        <v>10</v>
      </c>
      <c r="D81" s="64" t="s">
        <v>30</v>
      </c>
      <c r="E81" s="65" t="s">
        <v>13</v>
      </c>
      <c r="F81" s="66" t="s">
        <v>12</v>
      </c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5"/>
      <c r="AC81" s="185"/>
      <c r="AD81" s="151"/>
      <c r="AE81" s="151"/>
      <c r="AF81" s="151"/>
      <c r="AG81" s="151"/>
      <c r="AH81" s="151"/>
      <c r="AI81" s="151"/>
      <c r="AJ81" s="151"/>
      <c r="AK81" s="151"/>
      <c r="AL81" s="151"/>
    </row>
    <row r="82" spans="1:38" ht="19.5" customHeight="1">
      <c r="A82" s="103" t="s">
        <v>16</v>
      </c>
      <c r="B82" s="27" t="s">
        <v>17</v>
      </c>
      <c r="C82" s="104" t="s">
        <v>71</v>
      </c>
      <c r="D82" s="68" t="s">
        <v>71</v>
      </c>
      <c r="E82" s="69" t="s">
        <v>17</v>
      </c>
      <c r="F82" s="84" t="s">
        <v>16</v>
      </c>
      <c r="G82" s="183"/>
      <c r="H82" s="183"/>
      <c r="I82" s="183" t="s">
        <v>84</v>
      </c>
      <c r="J82" s="183" t="s">
        <v>88</v>
      </c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5"/>
      <c r="AC82" s="185"/>
      <c r="AD82" s="151"/>
      <c r="AE82" s="151"/>
      <c r="AF82" s="151"/>
      <c r="AG82" s="151"/>
      <c r="AH82" s="151"/>
      <c r="AI82" s="151"/>
      <c r="AJ82" s="151"/>
      <c r="AK82" s="151"/>
      <c r="AL82" s="151"/>
    </row>
    <row r="83" spans="1:38" ht="19.5" customHeight="1">
      <c r="A83" s="106">
        <v>500</v>
      </c>
      <c r="B83" s="107">
        <v>8</v>
      </c>
      <c r="C83" s="34">
        <f>((320*B83)/A83)/2</f>
        <v>2.56</v>
      </c>
      <c r="D83" s="87">
        <v>2.56</v>
      </c>
      <c r="E83" s="88">
        <v>8</v>
      </c>
      <c r="F83" s="75">
        <f>SQRT(I83*J83)</f>
        <v>500</v>
      </c>
      <c r="G83" s="183"/>
      <c r="H83" s="183"/>
      <c r="I83" s="183">
        <f>320000/(E83*D87)</f>
        <v>500</v>
      </c>
      <c r="J83" s="183">
        <f>(320*E83)/(D83*2)</f>
        <v>500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5"/>
      <c r="AC83" s="185"/>
      <c r="AD83" s="151"/>
      <c r="AE83" s="151"/>
      <c r="AF83" s="151"/>
      <c r="AG83" s="151"/>
      <c r="AH83" s="151"/>
      <c r="AI83" s="151"/>
      <c r="AJ83" s="151"/>
      <c r="AK83" s="151"/>
      <c r="AL83" s="151"/>
    </row>
    <row r="84" spans="1:38" ht="19.5" customHeight="1">
      <c r="A84" s="89"/>
      <c r="B84" s="90"/>
      <c r="C84" s="91" t="s">
        <v>77</v>
      </c>
      <c r="D84" s="92" t="s">
        <v>77</v>
      </c>
      <c r="E84" s="93"/>
      <c r="F84" s="121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5"/>
      <c r="AC84" s="185"/>
      <c r="AD84" s="151"/>
      <c r="AE84" s="151"/>
      <c r="AF84" s="151"/>
      <c r="AG84" s="151"/>
      <c r="AH84" s="151"/>
      <c r="AI84" s="151"/>
      <c r="AJ84" s="151"/>
      <c r="AK84" s="151"/>
      <c r="AL84" s="151"/>
    </row>
    <row r="85" spans="1:38" ht="19.5" customHeight="1">
      <c r="A85" s="89"/>
      <c r="B85" s="90"/>
      <c r="C85" s="34">
        <f>C83</f>
        <v>2.56</v>
      </c>
      <c r="D85" s="192">
        <f>D83</f>
        <v>2.56</v>
      </c>
      <c r="E85" s="93"/>
      <c r="F85" s="121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5"/>
      <c r="AC85" s="185"/>
      <c r="AD85" s="151"/>
      <c r="AE85" s="151"/>
      <c r="AF85" s="151"/>
      <c r="AG85" s="151"/>
      <c r="AH85" s="151"/>
      <c r="AI85" s="151"/>
      <c r="AJ85" s="151"/>
      <c r="AK85" s="151"/>
      <c r="AL85" s="151"/>
    </row>
    <row r="86" spans="1:38" ht="19.5" customHeight="1">
      <c r="A86" s="89"/>
      <c r="B86" s="90"/>
      <c r="C86" s="91" t="s">
        <v>33</v>
      </c>
      <c r="D86" s="92" t="s">
        <v>33</v>
      </c>
      <c r="E86" s="93"/>
      <c r="F86" s="121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5"/>
      <c r="AC86" s="185"/>
      <c r="AD86" s="151"/>
      <c r="AE86" s="151"/>
      <c r="AF86" s="151"/>
      <c r="AG86" s="151"/>
      <c r="AH86" s="151"/>
      <c r="AI86" s="151"/>
      <c r="AJ86" s="151"/>
      <c r="AK86" s="151"/>
      <c r="AL86" s="151"/>
    </row>
    <row r="87" spans="1:38" ht="19.5" customHeight="1">
      <c r="A87" s="89"/>
      <c r="B87" s="90"/>
      <c r="C87" s="34">
        <f>320000/(B83*A83)</f>
        <v>80</v>
      </c>
      <c r="D87" s="87">
        <v>80</v>
      </c>
      <c r="E87" s="93"/>
      <c r="F87" s="121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5"/>
      <c r="AC87" s="185"/>
      <c r="AD87" s="151"/>
      <c r="AE87" s="151"/>
      <c r="AF87" s="151"/>
      <c r="AG87" s="151"/>
      <c r="AH87" s="151"/>
      <c r="AI87" s="151"/>
      <c r="AJ87" s="151"/>
      <c r="AK87" s="151"/>
      <c r="AL87" s="151"/>
    </row>
    <row r="88" spans="1:38" ht="12.75">
      <c r="A88" s="10"/>
      <c r="B88" s="11"/>
      <c r="C88" s="11"/>
      <c r="D88" s="47"/>
      <c r="E88" s="11"/>
      <c r="F88" s="49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5"/>
      <c r="AC88" s="185"/>
      <c r="AD88" s="151"/>
      <c r="AE88" s="151"/>
      <c r="AF88" s="151"/>
      <c r="AG88" s="151"/>
      <c r="AH88" s="151"/>
      <c r="AI88" s="151"/>
      <c r="AJ88" s="151"/>
      <c r="AK88" s="151"/>
      <c r="AL88" s="151"/>
    </row>
    <row r="89" spans="1:38" ht="29.25">
      <c r="A89" s="126" t="s">
        <v>85</v>
      </c>
      <c r="B89" s="126"/>
      <c r="C89" s="126"/>
      <c r="D89" s="126"/>
      <c r="E89" s="126"/>
      <c r="F89" s="126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5"/>
      <c r="AC89" s="185"/>
      <c r="AD89" s="151"/>
      <c r="AE89" s="151"/>
      <c r="AF89" s="151"/>
      <c r="AG89" s="151"/>
      <c r="AH89" s="151"/>
      <c r="AI89" s="151"/>
      <c r="AJ89" s="151"/>
      <c r="AK89" s="151"/>
      <c r="AL89" s="151"/>
    </row>
    <row r="90" spans="1:38" ht="17.25">
      <c r="A90" s="127" t="s">
        <v>3</v>
      </c>
      <c r="B90" s="127"/>
      <c r="C90" s="127"/>
      <c r="D90" s="128" t="s">
        <v>4</v>
      </c>
      <c r="E90" s="128"/>
      <c r="F90" s="128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5"/>
      <c r="AC90" s="185"/>
      <c r="AD90" s="151"/>
      <c r="AE90" s="151"/>
      <c r="AF90" s="151"/>
      <c r="AG90" s="151"/>
      <c r="AH90" s="151"/>
      <c r="AI90" s="151"/>
      <c r="AJ90" s="151"/>
      <c r="AK90" s="151"/>
      <c r="AL90" s="151"/>
    </row>
    <row r="91" spans="1:38" ht="12.75">
      <c r="A91" s="10"/>
      <c r="B91" s="11"/>
      <c r="C91" s="11"/>
      <c r="D91" s="47"/>
      <c r="E91" s="11"/>
      <c r="F91" s="49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5"/>
      <c r="AC91" s="185"/>
      <c r="AD91" s="151"/>
      <c r="AE91" s="151"/>
      <c r="AF91" s="151"/>
      <c r="AG91" s="151"/>
      <c r="AH91" s="151"/>
      <c r="AI91" s="151"/>
      <c r="AJ91" s="151"/>
      <c r="AK91" s="151"/>
      <c r="AL91" s="151"/>
    </row>
    <row r="92" spans="1:38" ht="12.75">
      <c r="A92" s="10"/>
      <c r="B92" s="11"/>
      <c r="C92" s="11"/>
      <c r="D92" s="12" t="s">
        <v>63</v>
      </c>
      <c r="E92" s="12"/>
      <c r="F92" s="12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5"/>
      <c r="AC92" s="185"/>
      <c r="AD92" s="151"/>
      <c r="AE92" s="151"/>
      <c r="AF92" s="151"/>
      <c r="AG92" s="151"/>
      <c r="AH92" s="151"/>
      <c r="AI92" s="151"/>
      <c r="AJ92" s="151"/>
      <c r="AK92" s="151"/>
      <c r="AL92" s="151"/>
    </row>
    <row r="93" spans="1:38" ht="12.75">
      <c r="A93" s="10"/>
      <c r="B93" s="11"/>
      <c r="C93" s="11"/>
      <c r="D93" s="12" t="s">
        <v>64</v>
      </c>
      <c r="E93" s="12"/>
      <c r="F93" s="12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5"/>
      <c r="AC93" s="185"/>
      <c r="AD93" s="151"/>
      <c r="AE93" s="151"/>
      <c r="AF93" s="151"/>
      <c r="AG93" s="151"/>
      <c r="AH93" s="151"/>
      <c r="AI93" s="151"/>
      <c r="AJ93" s="151"/>
      <c r="AK93" s="151"/>
      <c r="AL93" s="151"/>
    </row>
    <row r="94" spans="1:38" ht="12.75">
      <c r="A94" s="10"/>
      <c r="B94" s="11"/>
      <c r="C94" s="11"/>
      <c r="D94" s="12" t="s">
        <v>65</v>
      </c>
      <c r="E94" s="12"/>
      <c r="F94" s="12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5"/>
      <c r="AC94" s="185"/>
      <c r="AD94" s="151"/>
      <c r="AE94" s="151"/>
      <c r="AF94" s="151"/>
      <c r="AG94" s="151"/>
      <c r="AH94" s="151"/>
      <c r="AI94" s="151"/>
      <c r="AJ94" s="151"/>
      <c r="AK94" s="151"/>
      <c r="AL94" s="151"/>
    </row>
    <row r="95" spans="1:38" ht="12.75">
      <c r="A95" s="10"/>
      <c r="B95" s="11"/>
      <c r="C95" s="11"/>
      <c r="D95" s="12" t="s">
        <v>66</v>
      </c>
      <c r="E95" s="12"/>
      <c r="F95" s="12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5"/>
      <c r="AC95" s="185"/>
      <c r="AD95" s="151"/>
      <c r="AE95" s="151"/>
      <c r="AF95" s="151"/>
      <c r="AG95" s="151"/>
      <c r="AH95" s="151"/>
      <c r="AI95" s="151"/>
      <c r="AJ95" s="151"/>
      <c r="AK95" s="151"/>
      <c r="AL95" s="151"/>
    </row>
    <row r="96" spans="1:38" ht="12.75">
      <c r="A96" s="10"/>
      <c r="B96" s="11"/>
      <c r="C96" s="11"/>
      <c r="D96" s="47"/>
      <c r="E96" s="11"/>
      <c r="F96" s="49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5"/>
      <c r="AC96" s="185"/>
      <c r="AD96" s="151"/>
      <c r="AE96" s="151"/>
      <c r="AF96" s="151"/>
      <c r="AG96" s="151"/>
      <c r="AH96" s="151"/>
      <c r="AI96" s="151"/>
      <c r="AJ96" s="151"/>
      <c r="AK96" s="151"/>
      <c r="AL96" s="151"/>
    </row>
    <row r="97" spans="1:38" ht="12.75">
      <c r="A97" s="10"/>
      <c r="B97" s="11"/>
      <c r="C97" s="11"/>
      <c r="D97" s="47"/>
      <c r="E97" s="11"/>
      <c r="F97" s="49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5"/>
      <c r="AC97" s="185"/>
      <c r="AD97" s="151"/>
      <c r="AE97" s="151"/>
      <c r="AF97" s="151"/>
      <c r="AG97" s="151"/>
      <c r="AH97" s="151"/>
      <c r="AI97" s="151"/>
      <c r="AJ97" s="151"/>
      <c r="AK97" s="151"/>
      <c r="AL97" s="151"/>
    </row>
    <row r="98" spans="1:38" ht="12.75">
      <c r="A98" s="10"/>
      <c r="B98" s="11"/>
      <c r="C98" s="11"/>
      <c r="D98" s="47"/>
      <c r="E98" s="11"/>
      <c r="F98" s="49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5"/>
      <c r="AC98" s="185"/>
      <c r="AD98" s="151"/>
      <c r="AE98" s="151"/>
      <c r="AF98" s="151"/>
      <c r="AG98" s="151"/>
      <c r="AH98" s="151"/>
      <c r="AI98" s="151"/>
      <c r="AJ98" s="151"/>
      <c r="AK98" s="151"/>
      <c r="AL98" s="151"/>
    </row>
    <row r="99" spans="1:38" ht="12.75">
      <c r="A99" s="10"/>
      <c r="B99" s="11"/>
      <c r="C99" s="11"/>
      <c r="D99" s="47"/>
      <c r="E99" s="11"/>
      <c r="F99" s="49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5"/>
      <c r="AC99" s="185"/>
      <c r="AD99" s="151"/>
      <c r="AE99" s="151"/>
      <c r="AF99" s="151"/>
      <c r="AG99" s="151"/>
      <c r="AH99" s="151"/>
      <c r="AI99" s="151"/>
      <c r="AJ99" s="151"/>
      <c r="AK99" s="151"/>
      <c r="AL99" s="151"/>
    </row>
    <row r="100" spans="1:38" ht="12.75">
      <c r="A100" s="10"/>
      <c r="B100" s="11"/>
      <c r="C100" s="11"/>
      <c r="D100" s="47"/>
      <c r="E100" s="11"/>
      <c r="F100" s="49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5"/>
      <c r="AC100" s="185"/>
      <c r="AD100" s="151"/>
      <c r="AE100" s="151"/>
      <c r="AF100" s="151"/>
      <c r="AG100" s="151"/>
      <c r="AH100" s="151"/>
      <c r="AI100" s="151"/>
      <c r="AJ100" s="151"/>
      <c r="AK100" s="151"/>
      <c r="AL100" s="151"/>
    </row>
    <row r="101" spans="1:38" ht="12.75">
      <c r="A101" s="10"/>
      <c r="B101" s="11"/>
      <c r="C101" s="11"/>
      <c r="D101" s="47"/>
      <c r="E101" s="11"/>
      <c r="F101" s="49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5"/>
      <c r="AC101" s="185"/>
      <c r="AD101" s="151"/>
      <c r="AE101" s="151"/>
      <c r="AF101" s="151"/>
      <c r="AG101" s="151"/>
      <c r="AH101" s="151"/>
      <c r="AI101" s="151"/>
      <c r="AJ101" s="151"/>
      <c r="AK101" s="151"/>
      <c r="AL101" s="151"/>
    </row>
    <row r="102" spans="1:38" ht="19.5" customHeight="1">
      <c r="A102" s="14" t="s">
        <v>8</v>
      </c>
      <c r="B102" s="15" t="s">
        <v>9</v>
      </c>
      <c r="C102" s="80"/>
      <c r="D102" s="57" t="s">
        <v>27</v>
      </c>
      <c r="E102" s="58" t="s">
        <v>9</v>
      </c>
      <c r="F102" s="59" t="s">
        <v>10</v>
      </c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5"/>
      <c r="AC102" s="185"/>
      <c r="AD102" s="151"/>
      <c r="AE102" s="151"/>
      <c r="AF102" s="151"/>
      <c r="AG102" s="151"/>
      <c r="AH102" s="151"/>
      <c r="AI102" s="151"/>
      <c r="AJ102" s="151"/>
      <c r="AK102" s="151"/>
      <c r="AL102" s="151"/>
    </row>
    <row r="103" spans="1:38" ht="12.75">
      <c r="A103" s="81" t="s">
        <v>12</v>
      </c>
      <c r="B103" s="82" t="s">
        <v>13</v>
      </c>
      <c r="C103" s="22" t="s">
        <v>10</v>
      </c>
      <c r="D103" s="64" t="s">
        <v>30</v>
      </c>
      <c r="E103" s="65" t="s">
        <v>13</v>
      </c>
      <c r="F103" s="66" t="s">
        <v>12</v>
      </c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5"/>
      <c r="AC103" s="185"/>
      <c r="AD103" s="151"/>
      <c r="AE103" s="151"/>
      <c r="AF103" s="151"/>
      <c r="AG103" s="151"/>
      <c r="AH103" s="151"/>
      <c r="AI103" s="151"/>
      <c r="AJ103" s="151"/>
      <c r="AK103" s="151"/>
      <c r="AL103" s="151"/>
    </row>
    <row r="104" spans="1:38" ht="19.5" customHeight="1">
      <c r="A104" s="103" t="s">
        <v>16</v>
      </c>
      <c r="B104" s="27" t="s">
        <v>17</v>
      </c>
      <c r="C104" s="104" t="s">
        <v>76</v>
      </c>
      <c r="D104" s="68" t="s">
        <v>76</v>
      </c>
      <c r="E104" s="69" t="s">
        <v>17</v>
      </c>
      <c r="F104" s="84" t="s">
        <v>16</v>
      </c>
      <c r="G104" s="183"/>
      <c r="H104" s="183"/>
      <c r="I104" s="183" t="s">
        <v>84</v>
      </c>
      <c r="J104" s="183" t="s">
        <v>88</v>
      </c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5"/>
      <c r="AC104" s="185"/>
      <c r="AD104" s="151"/>
      <c r="AE104" s="151"/>
      <c r="AF104" s="151"/>
      <c r="AG104" s="151"/>
      <c r="AH104" s="151"/>
      <c r="AI104" s="151"/>
      <c r="AJ104" s="151"/>
      <c r="AK104" s="151"/>
      <c r="AL104" s="151"/>
    </row>
    <row r="105" spans="1:38" ht="19.5" customHeight="1">
      <c r="A105" s="106">
        <v>5000</v>
      </c>
      <c r="B105" s="107">
        <v>16</v>
      </c>
      <c r="C105" s="34">
        <f>(80000/(B105*A105))*2</f>
        <v>2</v>
      </c>
      <c r="D105" s="87">
        <v>2</v>
      </c>
      <c r="E105" s="88">
        <v>16</v>
      </c>
      <c r="F105" s="75">
        <f>SQRT(I105*J105)</f>
        <v>5000</v>
      </c>
      <c r="G105" s="183"/>
      <c r="H105" s="183"/>
      <c r="I105" s="183">
        <f>80000/(E105*(D105/2))</f>
        <v>5000</v>
      </c>
      <c r="J105" s="183">
        <f>(80*E105)/D109</f>
        <v>5000</v>
      </c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5"/>
      <c r="AC105" s="185"/>
      <c r="AD105" s="151"/>
      <c r="AE105" s="151"/>
      <c r="AF105" s="151"/>
      <c r="AG105" s="151"/>
      <c r="AH105" s="151"/>
      <c r="AI105" s="151"/>
      <c r="AJ105" s="151"/>
      <c r="AK105" s="151"/>
      <c r="AL105" s="151"/>
    </row>
    <row r="106" spans="1:38" ht="19.5" customHeight="1">
      <c r="A106" s="89"/>
      <c r="B106" s="129"/>
      <c r="C106" s="130" t="s">
        <v>79</v>
      </c>
      <c r="D106" s="92" t="s">
        <v>79</v>
      </c>
      <c r="E106" s="131"/>
      <c r="F106" s="132"/>
      <c r="G106" s="185"/>
      <c r="H106" s="185"/>
      <c r="I106" s="185"/>
      <c r="J106" s="185"/>
      <c r="K106" s="185"/>
      <c r="L106" s="185"/>
      <c r="M106" s="185"/>
      <c r="N106" s="183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51"/>
      <c r="AE106" s="151"/>
      <c r="AF106" s="151"/>
      <c r="AG106" s="151"/>
      <c r="AH106" s="151"/>
      <c r="AI106" s="151"/>
      <c r="AJ106" s="151"/>
      <c r="AK106" s="151"/>
      <c r="AL106" s="151"/>
    </row>
    <row r="107" spans="1:38" ht="19.5" customHeight="1">
      <c r="A107" s="133"/>
      <c r="B107" s="129"/>
      <c r="C107" s="122">
        <f>C105</f>
        <v>2</v>
      </c>
      <c r="D107" s="192">
        <f>D105</f>
        <v>2</v>
      </c>
      <c r="E107" s="131"/>
      <c r="F107" s="132"/>
      <c r="G107" s="185"/>
      <c r="H107" s="185"/>
      <c r="I107" s="185"/>
      <c r="J107" s="185"/>
      <c r="K107" s="185"/>
      <c r="L107" s="185"/>
      <c r="M107" s="185"/>
      <c r="N107" s="183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51"/>
      <c r="AE107" s="151"/>
      <c r="AF107" s="151"/>
      <c r="AG107" s="151"/>
      <c r="AH107" s="151"/>
      <c r="AI107" s="151"/>
      <c r="AJ107" s="151"/>
      <c r="AK107" s="151"/>
      <c r="AL107" s="151"/>
    </row>
    <row r="108" spans="1:38" ht="19.5" customHeight="1">
      <c r="A108" s="133"/>
      <c r="B108" s="129"/>
      <c r="C108" s="130" t="s">
        <v>37</v>
      </c>
      <c r="D108" s="92" t="s">
        <v>37</v>
      </c>
      <c r="E108" s="131"/>
      <c r="F108" s="132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51"/>
      <c r="AE108" s="151"/>
      <c r="AF108" s="151"/>
      <c r="AG108" s="151"/>
      <c r="AH108" s="151"/>
      <c r="AI108" s="151"/>
      <c r="AJ108" s="151"/>
      <c r="AK108" s="151"/>
      <c r="AL108" s="151"/>
    </row>
    <row r="109" spans="1:38" ht="19.5" customHeight="1">
      <c r="A109" s="133"/>
      <c r="B109" s="129"/>
      <c r="C109" s="122">
        <f>(80*B105)/A105</f>
        <v>0.256</v>
      </c>
      <c r="D109" s="87">
        <v>0.256</v>
      </c>
      <c r="E109" s="131"/>
      <c r="F109" s="132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51"/>
      <c r="AE109" s="151"/>
      <c r="AF109" s="151"/>
      <c r="AG109" s="151"/>
      <c r="AH109" s="151"/>
      <c r="AI109" s="151"/>
      <c r="AJ109" s="151"/>
      <c r="AK109" s="151"/>
      <c r="AL109" s="151"/>
    </row>
    <row r="110" spans="1:38" ht="12.75">
      <c r="A110" s="134"/>
      <c r="B110" s="134"/>
      <c r="C110" s="134"/>
      <c r="D110" s="134"/>
      <c r="E110" s="134"/>
      <c r="F110" s="134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51"/>
      <c r="AE110" s="151"/>
      <c r="AF110" s="151"/>
      <c r="AG110" s="151"/>
      <c r="AH110" s="151"/>
      <c r="AI110" s="151"/>
      <c r="AJ110" s="151"/>
      <c r="AK110" s="151"/>
      <c r="AL110" s="151"/>
    </row>
    <row r="111" spans="1:38" ht="29.25">
      <c r="A111" s="135" t="s">
        <v>89</v>
      </c>
      <c r="B111" s="135"/>
      <c r="C111" s="135"/>
      <c r="D111" s="135"/>
      <c r="E111" s="135"/>
      <c r="F111" s="13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51"/>
      <c r="AE111" s="151"/>
      <c r="AF111" s="151"/>
      <c r="AG111" s="151"/>
      <c r="AH111" s="151"/>
      <c r="AI111" s="151"/>
      <c r="AJ111" s="151"/>
      <c r="AK111" s="151"/>
      <c r="AL111" s="151"/>
    </row>
    <row r="112" spans="1:38" ht="12.75">
      <c r="A112" s="136"/>
      <c r="B112" s="137"/>
      <c r="C112" s="137"/>
      <c r="D112" s="138"/>
      <c r="E112" s="137"/>
      <c r="F112" s="139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51"/>
      <c r="AE112" s="151"/>
      <c r="AF112" s="151"/>
      <c r="AG112" s="151"/>
      <c r="AH112" s="151"/>
      <c r="AI112" s="151"/>
      <c r="AJ112" s="151"/>
      <c r="AK112" s="151"/>
      <c r="AL112" s="151"/>
    </row>
    <row r="113" spans="1:38" ht="12.75">
      <c r="A113" s="136"/>
      <c r="B113" s="137"/>
      <c r="C113" s="137"/>
      <c r="D113" s="138"/>
      <c r="E113" s="137"/>
      <c r="F113" s="139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51"/>
      <c r="AE113" s="151"/>
      <c r="AF113" s="151"/>
      <c r="AG113" s="151"/>
      <c r="AH113" s="151"/>
      <c r="AI113" s="151"/>
      <c r="AJ113" s="151"/>
      <c r="AK113" s="151"/>
      <c r="AL113" s="151"/>
    </row>
    <row r="114" spans="1:38" ht="12.75">
      <c r="A114" s="136"/>
      <c r="B114" s="137"/>
      <c r="C114" s="137"/>
      <c r="D114" s="138"/>
      <c r="E114" s="137"/>
      <c r="F114" s="139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51"/>
      <c r="AE114" s="151"/>
      <c r="AF114" s="151"/>
      <c r="AG114" s="151"/>
      <c r="AH114" s="151"/>
      <c r="AI114" s="151"/>
      <c r="AJ114" s="151"/>
      <c r="AK114" s="151"/>
      <c r="AL114" s="151"/>
    </row>
    <row r="115" spans="1:38" ht="12.75">
      <c r="A115" s="136"/>
      <c r="B115" s="137"/>
      <c r="C115" s="137"/>
      <c r="D115" s="138"/>
      <c r="E115" s="137"/>
      <c r="F115" s="139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51"/>
      <c r="AE115" s="151"/>
      <c r="AF115" s="151"/>
      <c r="AG115" s="151"/>
      <c r="AH115" s="151"/>
      <c r="AI115" s="151"/>
      <c r="AJ115" s="151"/>
      <c r="AK115" s="151"/>
      <c r="AL115" s="151"/>
    </row>
    <row r="116" spans="1:38" ht="12.75">
      <c r="A116" s="136"/>
      <c r="B116" s="137"/>
      <c r="C116" s="137"/>
      <c r="D116" s="138"/>
      <c r="E116" s="137"/>
      <c r="F116" s="139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51"/>
      <c r="AE116" s="151"/>
      <c r="AF116" s="151"/>
      <c r="AG116" s="151"/>
      <c r="AH116" s="151"/>
      <c r="AI116" s="151"/>
      <c r="AJ116" s="151"/>
      <c r="AK116" s="151"/>
      <c r="AL116" s="151"/>
    </row>
    <row r="117" spans="1:38" ht="12.75">
      <c r="A117" s="136"/>
      <c r="B117" s="137"/>
      <c r="C117" s="137"/>
      <c r="D117" s="138"/>
      <c r="E117" s="137"/>
      <c r="F117" s="139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51"/>
      <c r="AE117" s="151"/>
      <c r="AF117" s="151"/>
      <c r="AG117" s="151"/>
      <c r="AH117" s="151"/>
      <c r="AI117" s="151"/>
      <c r="AJ117" s="151"/>
      <c r="AK117" s="151"/>
      <c r="AL117" s="151"/>
    </row>
    <row r="118" spans="1:38" ht="12.75">
      <c r="A118" s="136"/>
      <c r="B118" s="137"/>
      <c r="C118" s="137"/>
      <c r="D118" s="138"/>
      <c r="E118" s="137"/>
      <c r="F118" s="139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51"/>
      <c r="AE118" s="151"/>
      <c r="AF118" s="151"/>
      <c r="AG118" s="151"/>
      <c r="AH118" s="151"/>
      <c r="AI118" s="151"/>
      <c r="AJ118" s="151"/>
      <c r="AK118" s="151"/>
      <c r="AL118" s="151"/>
    </row>
    <row r="119" spans="1:38" ht="12.75">
      <c r="A119" s="136"/>
      <c r="B119" s="137"/>
      <c r="C119" s="137"/>
      <c r="D119" s="138"/>
      <c r="E119" s="137"/>
      <c r="F119" s="139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51"/>
      <c r="AE119" s="151"/>
      <c r="AF119" s="151"/>
      <c r="AG119" s="151"/>
      <c r="AH119" s="151"/>
      <c r="AI119" s="151"/>
      <c r="AJ119" s="151"/>
      <c r="AK119" s="151"/>
      <c r="AL119" s="151"/>
    </row>
    <row r="120" spans="1:38" ht="12.75">
      <c r="A120" s="136"/>
      <c r="B120" s="137"/>
      <c r="C120" s="137"/>
      <c r="D120" s="138"/>
      <c r="E120" s="137"/>
      <c r="F120" s="139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51"/>
      <c r="AE120" s="151"/>
      <c r="AF120" s="151"/>
      <c r="AG120" s="151"/>
      <c r="AH120" s="151"/>
      <c r="AI120" s="151"/>
      <c r="AJ120" s="151"/>
      <c r="AK120" s="151"/>
      <c r="AL120" s="151"/>
    </row>
    <row r="121" spans="1:38" ht="12.75">
      <c r="A121" s="136"/>
      <c r="B121" s="137"/>
      <c r="C121" s="137"/>
      <c r="D121" s="138"/>
      <c r="E121" s="137"/>
      <c r="F121" s="139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51"/>
      <c r="AE121" s="151"/>
      <c r="AF121" s="151"/>
      <c r="AG121" s="151"/>
      <c r="AH121" s="151"/>
      <c r="AI121" s="151"/>
      <c r="AJ121" s="151"/>
      <c r="AK121" s="151"/>
      <c r="AL121" s="151"/>
    </row>
    <row r="122" spans="1:38" ht="12.75">
      <c r="A122" s="136"/>
      <c r="B122" s="137"/>
      <c r="C122" s="137"/>
      <c r="D122" s="138"/>
      <c r="E122" s="137"/>
      <c r="F122" s="139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51"/>
      <c r="AE122" s="151"/>
      <c r="AF122" s="151"/>
      <c r="AG122" s="151"/>
      <c r="AH122" s="151"/>
      <c r="AI122" s="151"/>
      <c r="AJ122" s="151"/>
      <c r="AK122" s="151"/>
      <c r="AL122" s="151"/>
    </row>
    <row r="123" spans="1:38" ht="12.75">
      <c r="A123" s="136"/>
      <c r="B123" s="137"/>
      <c r="C123" s="137"/>
      <c r="D123" s="138"/>
      <c r="E123" s="137"/>
      <c r="F123" s="139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51"/>
      <c r="AE123" s="151"/>
      <c r="AF123" s="151"/>
      <c r="AG123" s="151"/>
      <c r="AH123" s="151"/>
      <c r="AI123" s="151"/>
      <c r="AJ123" s="151"/>
      <c r="AK123" s="151"/>
      <c r="AL123" s="151"/>
    </row>
    <row r="124" spans="1:38" ht="19.5" customHeight="1">
      <c r="A124" s="14" t="s">
        <v>8</v>
      </c>
      <c r="B124" s="15" t="s">
        <v>9</v>
      </c>
      <c r="C124" s="140" t="s">
        <v>10</v>
      </c>
      <c r="D124" s="140"/>
      <c r="E124" s="140"/>
      <c r="F124" s="141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51"/>
      <c r="AE124" s="151"/>
      <c r="AF124" s="151"/>
      <c r="AG124" s="151"/>
      <c r="AH124" s="151"/>
      <c r="AI124" s="151"/>
      <c r="AJ124" s="151"/>
      <c r="AK124" s="151"/>
      <c r="AL124" s="151"/>
    </row>
    <row r="125" spans="1:38" ht="12.75">
      <c r="A125" s="81" t="s">
        <v>12</v>
      </c>
      <c r="B125" s="82" t="s">
        <v>13</v>
      </c>
      <c r="C125" s="140"/>
      <c r="D125" s="140"/>
      <c r="E125" s="140"/>
      <c r="F125" s="142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51"/>
      <c r="AE125" s="151"/>
      <c r="AF125" s="151"/>
      <c r="AG125" s="151"/>
      <c r="AH125" s="151"/>
      <c r="AI125" s="151"/>
      <c r="AJ125" s="151"/>
      <c r="AK125" s="151"/>
      <c r="AL125" s="151"/>
    </row>
    <row r="126" spans="1:38" ht="19.5" customHeight="1">
      <c r="A126" s="83" t="s">
        <v>32</v>
      </c>
      <c r="B126" s="27" t="s">
        <v>17</v>
      </c>
      <c r="C126" s="143" t="s">
        <v>71</v>
      </c>
      <c r="D126" s="143" t="s">
        <v>77</v>
      </c>
      <c r="E126" s="140" t="s">
        <v>91</v>
      </c>
      <c r="F126" s="144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51"/>
      <c r="AE126" s="151"/>
      <c r="AF126" s="151"/>
      <c r="AG126" s="151"/>
      <c r="AH126" s="151"/>
      <c r="AI126" s="151"/>
      <c r="AJ126" s="151"/>
      <c r="AK126" s="151"/>
      <c r="AL126" s="151"/>
    </row>
    <row r="127" spans="1:38" s="147" customFormat="1" ht="19.5" customHeight="1">
      <c r="A127" s="32">
        <v>500</v>
      </c>
      <c r="B127" s="33">
        <v>8</v>
      </c>
      <c r="C127" s="145">
        <f>((320*B127)/(A129-A127))/2</f>
        <v>0.28444444444444444</v>
      </c>
      <c r="D127" s="145">
        <f>(80*B127*(A129-A127))/(A129*A127)</f>
        <v>1.152</v>
      </c>
      <c r="E127" s="146">
        <f>C127</f>
        <v>0.28444444444444444</v>
      </c>
      <c r="F127" s="144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93"/>
      <c r="AE127" s="193"/>
      <c r="AF127" s="193"/>
      <c r="AG127" s="193"/>
      <c r="AH127" s="193"/>
      <c r="AI127" s="193"/>
      <c r="AJ127" s="193"/>
      <c r="AK127" s="193"/>
      <c r="AL127" s="193"/>
    </row>
    <row r="128" spans="1:38" ht="19.5" customHeight="1">
      <c r="A128" s="89" t="s">
        <v>36</v>
      </c>
      <c r="B128" s="90"/>
      <c r="C128" s="143" t="s">
        <v>76</v>
      </c>
      <c r="D128" s="143" t="s">
        <v>79</v>
      </c>
      <c r="E128" s="140" t="s">
        <v>92</v>
      </c>
      <c r="F128" s="144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51"/>
      <c r="AE128" s="151"/>
      <c r="AF128" s="151"/>
      <c r="AG128" s="151"/>
      <c r="AH128" s="151"/>
      <c r="AI128" s="151"/>
      <c r="AJ128" s="151"/>
      <c r="AK128" s="151"/>
      <c r="AL128" s="151"/>
    </row>
    <row r="129" spans="1:38" ht="19.5" customHeight="1">
      <c r="A129" s="194">
        <v>5000</v>
      </c>
      <c r="B129" s="195"/>
      <c r="C129" s="196">
        <f>((80000*(A129-A127))/(B127*(A129*A127)))*2</f>
        <v>36</v>
      </c>
      <c r="D129" s="196">
        <f>320000/(B127*(A129-A127))</f>
        <v>8.88888888888889</v>
      </c>
      <c r="E129" s="197">
        <f>C129</f>
        <v>36</v>
      </c>
      <c r="F129" s="198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51"/>
      <c r="AE129" s="151"/>
      <c r="AF129" s="151"/>
      <c r="AG129" s="151"/>
      <c r="AH129" s="151"/>
      <c r="AI129" s="151"/>
      <c r="AJ129" s="151"/>
      <c r="AK129" s="151"/>
      <c r="AL129" s="151"/>
    </row>
    <row r="130" spans="1:38" ht="19.5" customHeight="1">
      <c r="A130" s="199"/>
      <c r="B130" s="200"/>
      <c r="C130" s="200"/>
      <c r="D130" s="199"/>
      <c r="E130" s="200"/>
      <c r="F130" s="199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51"/>
      <c r="AE130" s="151"/>
      <c r="AF130" s="151"/>
      <c r="AG130" s="151"/>
      <c r="AH130" s="151"/>
      <c r="AI130" s="151"/>
      <c r="AJ130" s="151"/>
      <c r="AK130" s="151"/>
      <c r="AL130" s="151"/>
    </row>
    <row r="131" spans="1:38" ht="19.5" customHeight="1">
      <c r="A131" s="199"/>
      <c r="B131" s="200"/>
      <c r="C131" s="200"/>
      <c r="D131" s="199"/>
      <c r="E131" s="200"/>
      <c r="F131" s="199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51"/>
      <c r="AE131" s="151"/>
      <c r="AF131" s="151"/>
      <c r="AG131" s="151"/>
      <c r="AH131" s="151"/>
      <c r="AI131" s="151"/>
      <c r="AJ131" s="151"/>
      <c r="AK131" s="151"/>
      <c r="AL131" s="151"/>
    </row>
    <row r="132" spans="1:38" ht="19.5" customHeight="1">
      <c r="A132" s="200"/>
      <c r="B132" s="200"/>
      <c r="C132" s="200"/>
      <c r="D132" s="200"/>
      <c r="E132" s="200"/>
      <c r="F132" s="200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51"/>
      <c r="AE132" s="151"/>
      <c r="AF132" s="151"/>
      <c r="AG132" s="151"/>
      <c r="AH132" s="151"/>
      <c r="AI132" s="151"/>
      <c r="AJ132" s="151"/>
      <c r="AK132" s="151"/>
      <c r="AL132" s="151"/>
    </row>
    <row r="133" spans="1:38" ht="19.5" customHeight="1">
      <c r="A133" s="200"/>
      <c r="B133" s="200"/>
      <c r="C133" s="200"/>
      <c r="D133" s="200"/>
      <c r="E133" s="200"/>
      <c r="F133" s="200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51"/>
      <c r="AE133" s="151"/>
      <c r="AF133" s="151"/>
      <c r="AG133" s="151"/>
      <c r="AH133" s="151"/>
      <c r="AI133" s="151"/>
      <c r="AJ133" s="151"/>
      <c r="AK133" s="151"/>
      <c r="AL133" s="151"/>
    </row>
    <row r="134" spans="1:38" ht="19.5" customHeight="1">
      <c r="A134" s="200"/>
      <c r="B134" s="200"/>
      <c r="C134" s="200"/>
      <c r="D134" s="200"/>
      <c r="E134" s="200"/>
      <c r="F134" s="200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51"/>
      <c r="AE134" s="151"/>
      <c r="AF134" s="151"/>
      <c r="AG134" s="151"/>
      <c r="AH134" s="151"/>
      <c r="AI134" s="151"/>
      <c r="AJ134" s="151"/>
      <c r="AK134" s="151"/>
      <c r="AL134" s="151"/>
    </row>
    <row r="135" spans="1:38" ht="19.5" customHeight="1">
      <c r="A135" s="200"/>
      <c r="B135" s="200"/>
      <c r="C135" s="200"/>
      <c r="D135" s="200"/>
      <c r="E135" s="200"/>
      <c r="F135" s="200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51"/>
      <c r="AE135" s="151"/>
      <c r="AF135" s="151"/>
      <c r="AG135" s="151"/>
      <c r="AH135" s="151"/>
      <c r="AI135" s="151"/>
      <c r="AJ135" s="151"/>
      <c r="AK135" s="151"/>
      <c r="AL135" s="151"/>
    </row>
    <row r="136" spans="1:38" ht="19.5" customHeight="1">
      <c r="A136" s="200"/>
      <c r="B136" s="200"/>
      <c r="C136" s="200"/>
      <c r="D136" s="200"/>
      <c r="E136" s="200"/>
      <c r="F136" s="200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51"/>
      <c r="AE136" s="151"/>
      <c r="AF136" s="151"/>
      <c r="AG136" s="151"/>
      <c r="AH136" s="151"/>
      <c r="AI136" s="151"/>
      <c r="AJ136" s="151"/>
      <c r="AK136" s="151"/>
      <c r="AL136" s="151"/>
    </row>
    <row r="137" spans="1:38" ht="19.5" customHeight="1">
      <c r="A137" s="200"/>
      <c r="B137" s="200"/>
      <c r="C137" s="200"/>
      <c r="D137" s="200"/>
      <c r="E137" s="200"/>
      <c r="F137" s="200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51"/>
      <c r="AE137" s="151"/>
      <c r="AF137" s="151"/>
      <c r="AG137" s="151"/>
      <c r="AH137" s="151"/>
      <c r="AI137" s="151"/>
      <c r="AJ137" s="151"/>
      <c r="AK137" s="151"/>
      <c r="AL137" s="151"/>
    </row>
    <row r="138" spans="1:38" ht="19.5" customHeight="1">
      <c r="A138" s="200"/>
      <c r="B138" s="200"/>
      <c r="C138" s="200"/>
      <c r="D138" s="200"/>
      <c r="E138" s="200"/>
      <c r="F138" s="200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51"/>
      <c r="AE138" s="151"/>
      <c r="AF138" s="151"/>
      <c r="AG138" s="151"/>
      <c r="AH138" s="151"/>
      <c r="AI138" s="151"/>
      <c r="AJ138" s="151"/>
      <c r="AK138" s="151"/>
      <c r="AL138" s="151"/>
    </row>
    <row r="139" spans="1:38" ht="19.5" customHeight="1">
      <c r="A139" s="200"/>
      <c r="B139" s="200"/>
      <c r="C139" s="200"/>
      <c r="D139" s="200"/>
      <c r="E139" s="200"/>
      <c r="F139" s="200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51"/>
      <c r="AE139" s="151"/>
      <c r="AF139" s="151"/>
      <c r="AG139" s="151"/>
      <c r="AH139" s="151"/>
      <c r="AI139" s="151"/>
      <c r="AJ139" s="151"/>
      <c r="AK139" s="151"/>
      <c r="AL139" s="151"/>
    </row>
    <row r="140" spans="1:38" ht="19.5" customHeight="1">
      <c r="A140" s="200"/>
      <c r="B140" s="200"/>
      <c r="C140" s="200"/>
      <c r="D140" s="200"/>
      <c r="E140" s="200"/>
      <c r="F140" s="200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51"/>
      <c r="AE140" s="151"/>
      <c r="AF140" s="151"/>
      <c r="AG140" s="151"/>
      <c r="AH140" s="151"/>
      <c r="AI140" s="151"/>
      <c r="AJ140" s="151"/>
      <c r="AK140" s="151"/>
      <c r="AL140" s="151"/>
    </row>
    <row r="141" spans="1:38" ht="19.5" customHeight="1">
      <c r="A141" s="200"/>
      <c r="B141" s="200"/>
      <c r="C141" s="200"/>
      <c r="D141" s="200"/>
      <c r="E141" s="200"/>
      <c r="F141" s="200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51"/>
      <c r="AE141" s="151"/>
      <c r="AF141" s="151"/>
      <c r="AG141" s="151"/>
      <c r="AH141" s="151"/>
      <c r="AI141" s="151"/>
      <c r="AJ141" s="151"/>
      <c r="AK141" s="151"/>
      <c r="AL141" s="151"/>
    </row>
    <row r="142" spans="1:38" ht="19.5" customHeight="1">
      <c r="A142" s="200"/>
      <c r="B142" s="200"/>
      <c r="C142" s="200"/>
      <c r="D142" s="200"/>
      <c r="E142" s="200"/>
      <c r="F142" s="200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51"/>
      <c r="AE142" s="151"/>
      <c r="AF142" s="151"/>
      <c r="AG142" s="151"/>
      <c r="AH142" s="151"/>
      <c r="AI142" s="151"/>
      <c r="AJ142" s="151"/>
      <c r="AK142" s="151"/>
      <c r="AL142" s="151"/>
    </row>
    <row r="143" spans="1:38" ht="19.5" customHeight="1">
      <c r="A143" s="200"/>
      <c r="B143" s="200"/>
      <c r="C143" s="200"/>
      <c r="D143" s="200"/>
      <c r="E143" s="200"/>
      <c r="F143" s="200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51"/>
      <c r="AE143" s="151"/>
      <c r="AF143" s="151"/>
      <c r="AG143" s="151"/>
      <c r="AH143" s="151"/>
      <c r="AI143" s="151"/>
      <c r="AJ143" s="151"/>
      <c r="AK143" s="151"/>
      <c r="AL143" s="151"/>
    </row>
    <row r="144" spans="1:38" ht="19.5" customHeight="1">
      <c r="A144" s="200"/>
      <c r="B144" s="200"/>
      <c r="C144" s="200"/>
      <c r="D144" s="200"/>
      <c r="E144" s="200"/>
      <c r="F144" s="200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51"/>
      <c r="AE144" s="151"/>
      <c r="AF144" s="151"/>
      <c r="AG144" s="151"/>
      <c r="AH144" s="151"/>
      <c r="AI144" s="151"/>
      <c r="AJ144" s="151"/>
      <c r="AK144" s="151"/>
      <c r="AL144" s="151"/>
    </row>
    <row r="145" spans="1:38" ht="19.5" customHeight="1">
      <c r="A145" s="200"/>
      <c r="B145" s="200"/>
      <c r="C145" s="200"/>
      <c r="D145" s="200"/>
      <c r="E145" s="200"/>
      <c r="F145" s="200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51"/>
      <c r="AE145" s="151"/>
      <c r="AF145" s="151"/>
      <c r="AG145" s="151"/>
      <c r="AH145" s="151"/>
      <c r="AI145" s="151"/>
      <c r="AJ145" s="151"/>
      <c r="AK145" s="151"/>
      <c r="AL145" s="151"/>
    </row>
    <row r="146" spans="1:29" ht="19.5" customHeight="1">
      <c r="A146" s="200"/>
      <c r="B146" s="201"/>
      <c r="C146" s="201"/>
      <c r="D146" s="201"/>
      <c r="E146" s="201"/>
      <c r="F146" s="201"/>
      <c r="G146" s="202"/>
      <c r="H146" s="202"/>
      <c r="I146" s="202"/>
      <c r="J146" s="202"/>
      <c r="K146" s="202"/>
      <c r="L146" s="202"/>
      <c r="M146" s="202"/>
      <c r="N146" s="185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</row>
    <row r="147" spans="1:29" ht="19.5" customHeight="1">
      <c r="A147" s="201"/>
      <c r="B147" s="201"/>
      <c r="C147" s="201"/>
      <c r="D147" s="201"/>
      <c r="E147" s="201"/>
      <c r="F147" s="201"/>
      <c r="G147" s="202"/>
      <c r="H147" s="202"/>
      <c r="I147" s="202"/>
      <c r="J147" s="202"/>
      <c r="K147" s="202"/>
      <c r="L147" s="202"/>
      <c r="M147" s="202"/>
      <c r="N147" s="185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</row>
    <row r="148" spans="1:29" ht="19.5" customHeight="1">
      <c r="A148" s="201"/>
      <c r="B148" s="201"/>
      <c r="C148" s="201"/>
      <c r="D148" s="201"/>
      <c r="E148" s="201"/>
      <c r="F148" s="201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</row>
    <row r="149" spans="1:29" ht="19.5" customHeight="1">
      <c r="A149" s="201"/>
      <c r="B149" s="201"/>
      <c r="C149" s="201"/>
      <c r="D149" s="201"/>
      <c r="E149" s="201"/>
      <c r="F149" s="201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</row>
    <row r="150" spans="1:29" ht="19.5" customHeight="1">
      <c r="A150" s="201"/>
      <c r="B150" s="201"/>
      <c r="C150" s="201"/>
      <c r="D150" s="201"/>
      <c r="E150" s="201"/>
      <c r="F150" s="201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</row>
    <row r="151" spans="1:29" ht="19.5" customHeight="1">
      <c r="A151" s="201"/>
      <c r="B151" s="201"/>
      <c r="C151" s="201"/>
      <c r="D151" s="201"/>
      <c r="E151" s="201"/>
      <c r="F151" s="201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</row>
    <row r="152" spans="1:29" ht="19.5" customHeight="1">
      <c r="A152" s="201"/>
      <c r="B152" s="201"/>
      <c r="C152" s="201"/>
      <c r="D152" s="201"/>
      <c r="E152" s="201"/>
      <c r="F152" s="201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</row>
    <row r="153" spans="1:29" ht="19.5" customHeight="1">
      <c r="A153" s="201"/>
      <c r="B153" s="201"/>
      <c r="C153" s="201"/>
      <c r="D153" s="201"/>
      <c r="E153" s="201"/>
      <c r="F153" s="201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</row>
    <row r="154" spans="1:29" ht="19.5" customHeight="1">
      <c r="A154" s="201"/>
      <c r="B154" s="201"/>
      <c r="C154" s="201"/>
      <c r="D154" s="201"/>
      <c r="E154" s="201"/>
      <c r="F154" s="201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</row>
    <row r="155" spans="1:29" ht="19.5" customHeight="1">
      <c r="A155" s="201"/>
      <c r="B155" s="201"/>
      <c r="C155" s="201"/>
      <c r="D155" s="201"/>
      <c r="E155" s="201"/>
      <c r="F155" s="201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</row>
    <row r="156" spans="1:29" ht="19.5" customHeight="1">
      <c r="A156" s="201"/>
      <c r="B156" s="201"/>
      <c r="C156" s="201"/>
      <c r="D156" s="201"/>
      <c r="E156" s="201"/>
      <c r="F156" s="201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</row>
    <row r="157" spans="1:29" ht="19.5" customHeight="1">
      <c r="A157" s="201"/>
      <c r="B157" s="201"/>
      <c r="C157" s="201"/>
      <c r="D157" s="201"/>
      <c r="E157" s="201"/>
      <c r="F157" s="201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</row>
    <row r="158" spans="1:29" ht="19.5" customHeight="1">
      <c r="A158" s="201"/>
      <c r="B158" s="201"/>
      <c r="C158" s="201"/>
      <c r="D158" s="201"/>
      <c r="E158" s="201"/>
      <c r="F158" s="201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</row>
    <row r="159" spans="1:29" ht="19.5" customHeight="1">
      <c r="A159" s="201"/>
      <c r="B159" s="201"/>
      <c r="C159" s="201"/>
      <c r="D159" s="201"/>
      <c r="E159" s="201"/>
      <c r="F159" s="201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</row>
    <row r="160" spans="1:29" ht="19.5" customHeight="1">
      <c r="A160" s="201"/>
      <c r="B160" s="201"/>
      <c r="C160" s="201"/>
      <c r="D160" s="201"/>
      <c r="E160" s="201"/>
      <c r="F160" s="201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</row>
    <row r="161" spans="1:29" ht="19.5" customHeight="1">
      <c r="A161" s="201"/>
      <c r="B161" s="201"/>
      <c r="C161" s="201"/>
      <c r="D161" s="201"/>
      <c r="E161" s="201"/>
      <c r="F161" s="201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</row>
    <row r="162" spans="1:29" ht="19.5" customHeight="1">
      <c r="A162" s="201"/>
      <c r="B162" s="201"/>
      <c r="C162" s="201"/>
      <c r="D162" s="201"/>
      <c r="E162" s="201"/>
      <c r="F162" s="201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</row>
    <row r="163" spans="1:29" ht="19.5" customHeight="1">
      <c r="A163" s="201"/>
      <c r="B163" s="201"/>
      <c r="C163" s="201"/>
      <c r="D163" s="201"/>
      <c r="E163" s="201"/>
      <c r="F163" s="201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</row>
    <row r="164" spans="1:29" ht="19.5" customHeight="1">
      <c r="A164" s="201"/>
      <c r="B164" s="201"/>
      <c r="C164" s="201"/>
      <c r="D164" s="201"/>
      <c r="E164" s="201"/>
      <c r="F164" s="201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</row>
    <row r="165" spans="1:29" ht="19.5" customHeight="1">
      <c r="A165" s="201"/>
      <c r="B165" s="201"/>
      <c r="C165" s="201"/>
      <c r="D165" s="201"/>
      <c r="E165" s="201"/>
      <c r="F165" s="201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</row>
    <row r="166" spans="1:29" ht="19.5" customHeight="1">
      <c r="A166" s="201"/>
      <c r="B166" s="201"/>
      <c r="C166" s="201"/>
      <c r="D166" s="201"/>
      <c r="E166" s="201"/>
      <c r="F166" s="201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</row>
    <row r="167" spans="1:29" ht="19.5" customHeight="1">
      <c r="A167" s="201"/>
      <c r="B167" s="201"/>
      <c r="C167" s="201"/>
      <c r="D167" s="201"/>
      <c r="E167" s="201"/>
      <c r="F167" s="201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</row>
    <row r="168" spans="1:29" ht="19.5" customHeight="1">
      <c r="A168" s="201"/>
      <c r="B168" s="201"/>
      <c r="C168" s="201"/>
      <c r="D168" s="201"/>
      <c r="E168" s="201"/>
      <c r="F168" s="201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</row>
    <row r="169" spans="1:29" ht="19.5" customHeight="1">
      <c r="A169" s="201"/>
      <c r="B169" s="201"/>
      <c r="C169" s="201"/>
      <c r="D169" s="201"/>
      <c r="E169" s="201"/>
      <c r="F169" s="201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</row>
    <row r="170" spans="1:29" ht="19.5" customHeight="1">
      <c r="A170" s="201"/>
      <c r="B170" s="201"/>
      <c r="C170" s="201"/>
      <c r="D170" s="201"/>
      <c r="E170" s="201"/>
      <c r="F170" s="201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</row>
    <row r="171" spans="1:29" ht="19.5" customHeight="1">
      <c r="A171" s="201"/>
      <c r="B171" s="201"/>
      <c r="C171" s="201"/>
      <c r="D171" s="201"/>
      <c r="E171" s="201"/>
      <c r="F171" s="201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</row>
    <row r="172" spans="1:29" ht="19.5" customHeight="1">
      <c r="A172" s="201"/>
      <c r="B172" s="201"/>
      <c r="C172" s="201"/>
      <c r="D172" s="201"/>
      <c r="E172" s="201"/>
      <c r="F172" s="201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</row>
    <row r="173" spans="1:29" ht="19.5" customHeight="1">
      <c r="A173" s="201"/>
      <c r="B173" s="201"/>
      <c r="C173" s="201"/>
      <c r="D173" s="201"/>
      <c r="E173" s="201"/>
      <c r="F173" s="201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</row>
    <row r="174" spans="1:29" ht="19.5" customHeight="1">
      <c r="A174" s="201"/>
      <c r="B174" s="201"/>
      <c r="C174" s="201"/>
      <c r="D174" s="201"/>
      <c r="E174" s="201"/>
      <c r="F174" s="201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</row>
    <row r="175" spans="1:29" ht="19.5" customHeight="1">
      <c r="A175" s="201"/>
      <c r="B175" s="201"/>
      <c r="C175" s="201"/>
      <c r="D175" s="201"/>
      <c r="E175" s="201"/>
      <c r="F175" s="201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</row>
    <row r="176" spans="1:29" ht="19.5" customHeight="1">
      <c r="A176" s="201"/>
      <c r="B176" s="201"/>
      <c r="C176" s="201"/>
      <c r="D176" s="201"/>
      <c r="E176" s="201"/>
      <c r="F176" s="201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</row>
    <row r="177" spans="1:29" ht="19.5" customHeight="1">
      <c r="A177" s="201"/>
      <c r="B177" s="201"/>
      <c r="C177" s="201"/>
      <c r="D177" s="201"/>
      <c r="E177" s="201"/>
      <c r="F177" s="201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</row>
    <row r="178" spans="1:29" ht="19.5" customHeight="1">
      <c r="A178" s="201"/>
      <c r="B178" s="201"/>
      <c r="C178" s="201"/>
      <c r="D178" s="201"/>
      <c r="E178" s="201"/>
      <c r="F178" s="201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</row>
    <row r="179" spans="1:29" ht="19.5" customHeight="1">
      <c r="A179" s="201"/>
      <c r="B179" s="201"/>
      <c r="C179" s="201"/>
      <c r="D179" s="201"/>
      <c r="E179" s="201"/>
      <c r="F179" s="201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</row>
    <row r="180" spans="1:29" ht="19.5" customHeight="1">
      <c r="A180" s="201"/>
      <c r="B180" s="201"/>
      <c r="C180" s="201"/>
      <c r="D180" s="201"/>
      <c r="E180" s="201"/>
      <c r="F180" s="201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</row>
    <row r="181" spans="1:29" ht="19.5" customHeight="1">
      <c r="A181" s="201"/>
      <c r="B181" s="201"/>
      <c r="C181" s="201"/>
      <c r="D181" s="201"/>
      <c r="E181" s="201"/>
      <c r="F181" s="201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</row>
    <row r="182" spans="1:29" ht="19.5" customHeight="1">
      <c r="A182" s="201"/>
      <c r="B182" s="201"/>
      <c r="C182" s="201"/>
      <c r="D182" s="201"/>
      <c r="E182" s="201"/>
      <c r="F182" s="201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</row>
    <row r="183" spans="1:29" ht="19.5" customHeight="1">
      <c r="A183" s="201"/>
      <c r="B183" s="201"/>
      <c r="C183" s="201"/>
      <c r="D183" s="201"/>
      <c r="E183" s="201"/>
      <c r="F183" s="201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</row>
    <row r="184" spans="1:29" ht="19.5" customHeight="1">
      <c r="A184" s="201"/>
      <c r="B184" s="201"/>
      <c r="C184" s="201"/>
      <c r="D184" s="201"/>
      <c r="E184" s="201"/>
      <c r="F184" s="201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</row>
    <row r="185" spans="1:29" ht="19.5" customHeight="1">
      <c r="A185" s="201"/>
      <c r="B185" s="201"/>
      <c r="C185" s="201"/>
      <c r="D185" s="201"/>
      <c r="E185" s="201"/>
      <c r="F185" s="201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</row>
    <row r="186" spans="1:29" ht="19.5" customHeight="1">
      <c r="A186" s="201"/>
      <c r="B186" s="201"/>
      <c r="C186" s="201"/>
      <c r="D186" s="201"/>
      <c r="E186" s="201"/>
      <c r="F186" s="201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</row>
    <row r="187" spans="1:29" ht="19.5" customHeight="1">
      <c r="A187" s="201"/>
      <c r="B187" s="201"/>
      <c r="C187" s="201"/>
      <c r="D187" s="201"/>
      <c r="E187" s="201"/>
      <c r="F187" s="201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</row>
    <row r="188" spans="1:29" ht="19.5" customHeight="1">
      <c r="A188" s="201"/>
      <c r="B188" s="201"/>
      <c r="C188" s="201"/>
      <c r="D188" s="201"/>
      <c r="E188" s="201"/>
      <c r="F188" s="201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</row>
    <row r="189" spans="1:29" ht="19.5" customHeight="1">
      <c r="A189" s="201"/>
      <c r="B189" s="201"/>
      <c r="C189" s="201"/>
      <c r="D189" s="201"/>
      <c r="E189" s="201"/>
      <c r="F189" s="201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</row>
    <row r="190" spans="1:29" ht="19.5" customHeight="1">
      <c r="A190" s="201"/>
      <c r="B190" s="201"/>
      <c r="C190" s="201"/>
      <c r="D190" s="201"/>
      <c r="E190" s="201"/>
      <c r="F190" s="201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</row>
    <row r="191" spans="1:29" ht="19.5" customHeight="1">
      <c r="A191" s="201"/>
      <c r="B191" s="201"/>
      <c r="C191" s="201"/>
      <c r="D191" s="201"/>
      <c r="E191" s="201"/>
      <c r="F191" s="201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</row>
    <row r="192" spans="1:29" ht="19.5" customHeight="1">
      <c r="A192" s="201"/>
      <c r="B192" s="201"/>
      <c r="C192" s="201"/>
      <c r="D192" s="201"/>
      <c r="E192" s="201"/>
      <c r="F192" s="201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</row>
    <row r="193" spans="1:29" ht="19.5" customHeight="1">
      <c r="A193" s="201"/>
      <c r="B193" s="201"/>
      <c r="C193" s="201"/>
      <c r="D193" s="201"/>
      <c r="E193" s="201"/>
      <c r="F193" s="201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</row>
    <row r="194" spans="1:29" ht="19.5" customHeight="1">
      <c r="A194" s="201"/>
      <c r="B194" s="201"/>
      <c r="C194" s="201"/>
      <c r="D194" s="201"/>
      <c r="E194" s="201"/>
      <c r="F194" s="201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</row>
    <row r="195" spans="1:29" ht="19.5" customHeight="1">
      <c r="A195" s="201"/>
      <c r="B195" s="201"/>
      <c r="C195" s="201"/>
      <c r="D195" s="201"/>
      <c r="E195" s="201"/>
      <c r="F195" s="201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</row>
    <row r="196" spans="1:29" ht="19.5" customHeight="1">
      <c r="A196" s="201"/>
      <c r="B196" s="201"/>
      <c r="C196" s="201"/>
      <c r="D196" s="201"/>
      <c r="E196" s="201"/>
      <c r="F196" s="201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</row>
    <row r="197" spans="1:29" ht="19.5" customHeight="1">
      <c r="A197" s="201"/>
      <c r="B197" s="201"/>
      <c r="C197" s="201"/>
      <c r="D197" s="201"/>
      <c r="E197" s="201"/>
      <c r="F197" s="201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</row>
    <row r="198" spans="1:29" ht="19.5" customHeight="1">
      <c r="A198" s="201"/>
      <c r="B198" s="201"/>
      <c r="C198" s="201"/>
      <c r="D198" s="201"/>
      <c r="E198" s="201"/>
      <c r="F198" s="201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</row>
    <row r="199" spans="1:29" ht="19.5" customHeight="1">
      <c r="A199" s="201"/>
      <c r="B199" s="201"/>
      <c r="C199" s="201"/>
      <c r="D199" s="201"/>
      <c r="E199" s="201"/>
      <c r="F199" s="201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</row>
    <row r="200" spans="1:29" ht="19.5" customHeight="1">
      <c r="A200" s="201"/>
      <c r="B200" s="201"/>
      <c r="C200" s="201"/>
      <c r="D200" s="201"/>
      <c r="E200" s="201"/>
      <c r="F200" s="201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</row>
    <row r="201" spans="1:29" ht="19.5" customHeight="1">
      <c r="A201" s="201"/>
      <c r="B201" s="201"/>
      <c r="C201" s="201"/>
      <c r="D201" s="201"/>
      <c r="E201" s="201"/>
      <c r="F201" s="201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</row>
    <row r="202" spans="1:29" ht="19.5" customHeight="1">
      <c r="A202" s="201"/>
      <c r="B202" s="201"/>
      <c r="C202" s="201"/>
      <c r="D202" s="201"/>
      <c r="E202" s="201"/>
      <c r="F202" s="201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</row>
    <row r="203" spans="1:29" ht="19.5" customHeight="1">
      <c r="A203" s="201"/>
      <c r="B203" s="201"/>
      <c r="C203" s="201"/>
      <c r="D203" s="201"/>
      <c r="E203" s="201"/>
      <c r="F203" s="201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</row>
    <row r="204" spans="1:29" ht="19.5" customHeight="1">
      <c r="A204" s="201"/>
      <c r="B204" s="201"/>
      <c r="C204" s="201"/>
      <c r="D204" s="201"/>
      <c r="E204" s="201"/>
      <c r="F204" s="201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</row>
    <row r="205" spans="1:29" ht="19.5" customHeight="1">
      <c r="A205" s="201"/>
      <c r="B205" s="201"/>
      <c r="C205" s="201"/>
      <c r="D205" s="201"/>
      <c r="E205" s="201"/>
      <c r="F205" s="201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</row>
    <row r="206" spans="1:29" ht="19.5" customHeight="1">
      <c r="A206" s="201"/>
      <c r="B206" s="201"/>
      <c r="C206" s="201"/>
      <c r="D206" s="201"/>
      <c r="E206" s="201"/>
      <c r="F206" s="201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</row>
    <row r="207" spans="1:29" ht="19.5" customHeight="1">
      <c r="A207" s="201"/>
      <c r="B207" s="201"/>
      <c r="C207" s="201"/>
      <c r="D207" s="201"/>
      <c r="E207" s="201"/>
      <c r="F207" s="201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</row>
    <row r="208" spans="1:29" ht="19.5" customHeight="1">
      <c r="A208" s="201"/>
      <c r="B208" s="201"/>
      <c r="C208" s="201"/>
      <c r="D208" s="201"/>
      <c r="E208" s="201"/>
      <c r="F208" s="201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</row>
    <row r="209" spans="1:29" ht="19.5" customHeight="1">
      <c r="A209" s="201"/>
      <c r="B209" s="201"/>
      <c r="C209" s="201"/>
      <c r="D209" s="201"/>
      <c r="E209" s="201"/>
      <c r="F209" s="201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</row>
    <row r="210" spans="1:29" ht="19.5" customHeight="1">
      <c r="A210" s="201"/>
      <c r="B210" s="201"/>
      <c r="C210" s="201"/>
      <c r="D210" s="201"/>
      <c r="E210" s="201"/>
      <c r="F210" s="201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</row>
    <row r="211" spans="1:29" ht="19.5" customHeight="1">
      <c r="A211" s="201"/>
      <c r="B211" s="201"/>
      <c r="C211" s="201"/>
      <c r="D211" s="201"/>
      <c r="E211" s="201"/>
      <c r="F211" s="201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</row>
    <row r="212" spans="1:29" ht="19.5" customHeight="1">
      <c r="A212" s="201"/>
      <c r="B212" s="201"/>
      <c r="C212" s="201"/>
      <c r="D212" s="201"/>
      <c r="E212" s="201"/>
      <c r="F212" s="201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</row>
    <row r="213" spans="1:29" ht="19.5" customHeight="1">
      <c r="A213" s="201"/>
      <c r="B213" s="201"/>
      <c r="C213" s="201"/>
      <c r="D213" s="201"/>
      <c r="E213" s="201"/>
      <c r="F213" s="201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</row>
    <row r="214" spans="1:29" ht="19.5" customHeight="1">
      <c r="A214" s="201"/>
      <c r="B214" s="201"/>
      <c r="C214" s="201"/>
      <c r="D214" s="201"/>
      <c r="E214" s="201"/>
      <c r="F214" s="201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</row>
    <row r="215" spans="1:29" ht="19.5" customHeight="1">
      <c r="A215" s="201"/>
      <c r="B215" s="201"/>
      <c r="C215" s="201"/>
      <c r="D215" s="201"/>
      <c r="E215" s="201"/>
      <c r="F215" s="201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</row>
    <row r="216" spans="1:29" ht="19.5" customHeight="1">
      <c r="A216" s="201"/>
      <c r="B216" s="201"/>
      <c r="C216" s="201"/>
      <c r="D216" s="201"/>
      <c r="E216" s="201"/>
      <c r="F216" s="201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</row>
    <row r="217" spans="1:29" ht="19.5" customHeight="1">
      <c r="A217" s="201"/>
      <c r="B217" s="201"/>
      <c r="C217" s="201"/>
      <c r="D217" s="201"/>
      <c r="E217" s="201"/>
      <c r="F217" s="201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</row>
    <row r="218" spans="1:29" ht="19.5" customHeight="1">
      <c r="A218" s="201"/>
      <c r="B218" s="201"/>
      <c r="C218" s="201"/>
      <c r="D218" s="201"/>
      <c r="E218" s="201"/>
      <c r="F218" s="201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</row>
    <row r="219" spans="1:29" ht="19.5" customHeight="1">
      <c r="A219" s="201"/>
      <c r="B219" s="201"/>
      <c r="C219" s="201"/>
      <c r="D219" s="201"/>
      <c r="E219" s="201"/>
      <c r="F219" s="201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</row>
    <row r="220" spans="1:29" ht="19.5" customHeight="1">
      <c r="A220" s="201"/>
      <c r="B220" s="201"/>
      <c r="C220" s="201"/>
      <c r="D220" s="201"/>
      <c r="E220" s="201"/>
      <c r="F220" s="201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</row>
    <row r="221" spans="1:29" ht="19.5" customHeight="1">
      <c r="A221" s="201"/>
      <c r="B221" s="201"/>
      <c r="C221" s="201"/>
      <c r="D221" s="201"/>
      <c r="E221" s="201"/>
      <c r="F221" s="201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</row>
    <row r="222" spans="1:29" ht="19.5" customHeight="1">
      <c r="A222" s="201"/>
      <c r="B222" s="201"/>
      <c r="C222" s="201"/>
      <c r="D222" s="201"/>
      <c r="E222" s="201"/>
      <c r="F222" s="201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</row>
    <row r="223" spans="1:29" ht="19.5" customHeight="1">
      <c r="A223" s="201"/>
      <c r="B223" s="201"/>
      <c r="C223" s="201"/>
      <c r="D223" s="201"/>
      <c r="E223" s="201"/>
      <c r="F223" s="201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</row>
    <row r="224" spans="1:29" ht="19.5" customHeight="1">
      <c r="A224" s="201"/>
      <c r="B224" s="201"/>
      <c r="C224" s="201"/>
      <c r="D224" s="201"/>
      <c r="E224" s="201"/>
      <c r="F224" s="201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</row>
    <row r="225" spans="1:29" ht="19.5" customHeight="1">
      <c r="A225" s="201"/>
      <c r="B225" s="201"/>
      <c r="C225" s="201"/>
      <c r="D225" s="201"/>
      <c r="E225" s="201"/>
      <c r="F225" s="201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</row>
    <row r="226" spans="1:29" ht="19.5" customHeight="1">
      <c r="A226" s="201"/>
      <c r="B226" s="201"/>
      <c r="C226" s="201"/>
      <c r="D226" s="201"/>
      <c r="E226" s="201"/>
      <c r="F226" s="201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</row>
    <row r="227" spans="1:29" ht="19.5" customHeight="1">
      <c r="A227" s="201"/>
      <c r="B227" s="201"/>
      <c r="C227" s="201"/>
      <c r="D227" s="201"/>
      <c r="E227" s="201"/>
      <c r="F227" s="201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</row>
    <row r="228" spans="1:29" ht="19.5" customHeight="1">
      <c r="A228" s="201"/>
      <c r="B228" s="201"/>
      <c r="C228" s="201"/>
      <c r="D228" s="201"/>
      <c r="E228" s="201"/>
      <c r="F228" s="201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</row>
    <row r="229" spans="1:29" ht="19.5" customHeight="1">
      <c r="A229" s="201"/>
      <c r="B229" s="201"/>
      <c r="C229" s="201"/>
      <c r="D229" s="201"/>
      <c r="E229" s="201"/>
      <c r="F229" s="201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</row>
    <row r="230" spans="1:29" ht="19.5" customHeight="1">
      <c r="A230" s="201"/>
      <c r="B230" s="201"/>
      <c r="C230" s="201"/>
      <c r="D230" s="201"/>
      <c r="E230" s="201"/>
      <c r="F230" s="201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</row>
    <row r="231" spans="1:29" ht="19.5" customHeight="1">
      <c r="A231" s="201"/>
      <c r="B231" s="201"/>
      <c r="C231" s="201"/>
      <c r="D231" s="201"/>
      <c r="E231" s="201"/>
      <c r="F231" s="201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</row>
    <row r="232" spans="1:29" ht="19.5" customHeight="1">
      <c r="A232" s="201"/>
      <c r="B232" s="201"/>
      <c r="C232" s="201"/>
      <c r="D232" s="201"/>
      <c r="E232" s="201"/>
      <c r="F232" s="201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</row>
    <row r="233" spans="1:29" ht="19.5" customHeight="1">
      <c r="A233" s="201"/>
      <c r="B233" s="201"/>
      <c r="C233" s="201"/>
      <c r="D233" s="201"/>
      <c r="E233" s="201"/>
      <c r="F233" s="201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</row>
    <row r="234" spans="1:29" ht="19.5" customHeight="1">
      <c r="A234" s="201"/>
      <c r="B234" s="201"/>
      <c r="C234" s="201"/>
      <c r="D234" s="201"/>
      <c r="E234" s="201"/>
      <c r="F234" s="201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</row>
    <row r="235" spans="1:29" ht="19.5" customHeight="1">
      <c r="A235" s="201"/>
      <c r="B235" s="201"/>
      <c r="C235" s="201"/>
      <c r="D235" s="201"/>
      <c r="E235" s="201"/>
      <c r="F235" s="201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</row>
    <row r="236" spans="1:29" ht="19.5" customHeight="1">
      <c r="A236" s="201"/>
      <c r="B236" s="201"/>
      <c r="C236" s="201"/>
      <c r="D236" s="201"/>
      <c r="E236" s="201"/>
      <c r="F236" s="201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</row>
    <row r="237" spans="1:29" ht="19.5" customHeight="1">
      <c r="A237" s="201"/>
      <c r="B237" s="201"/>
      <c r="C237" s="201"/>
      <c r="D237" s="201"/>
      <c r="E237" s="201"/>
      <c r="F237" s="201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</row>
    <row r="238" spans="1:29" ht="19.5" customHeight="1">
      <c r="A238" s="201"/>
      <c r="B238" s="201"/>
      <c r="C238" s="201"/>
      <c r="D238" s="201"/>
      <c r="E238" s="201"/>
      <c r="F238" s="201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</row>
    <row r="239" spans="1:29" ht="19.5" customHeight="1">
      <c r="A239" s="201"/>
      <c r="B239" s="201"/>
      <c r="C239" s="201"/>
      <c r="D239" s="201"/>
      <c r="E239" s="201"/>
      <c r="F239" s="201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</row>
    <row r="240" spans="1:29" ht="19.5" customHeight="1">
      <c r="A240" s="201"/>
      <c r="B240" s="201"/>
      <c r="C240" s="201"/>
      <c r="D240" s="201"/>
      <c r="E240" s="201"/>
      <c r="F240" s="201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</row>
    <row r="241" spans="1:29" ht="19.5" customHeight="1">
      <c r="A241" s="201"/>
      <c r="B241" s="201"/>
      <c r="C241" s="201"/>
      <c r="D241" s="201"/>
      <c r="E241" s="201"/>
      <c r="F241" s="201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</row>
    <row r="242" spans="1:29" ht="19.5" customHeight="1">
      <c r="A242" s="201"/>
      <c r="B242" s="201"/>
      <c r="C242" s="201"/>
      <c r="D242" s="201"/>
      <c r="E242" s="201"/>
      <c r="F242" s="201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</row>
    <row r="243" spans="1:29" ht="19.5" customHeight="1">
      <c r="A243" s="201"/>
      <c r="B243" s="201"/>
      <c r="C243" s="201"/>
      <c r="D243" s="201"/>
      <c r="E243" s="201"/>
      <c r="F243" s="201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</row>
    <row r="244" spans="1:29" ht="19.5" customHeight="1">
      <c r="A244" s="201"/>
      <c r="B244" s="201"/>
      <c r="C244" s="201"/>
      <c r="D244" s="201"/>
      <c r="E244" s="201"/>
      <c r="F244" s="201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</row>
    <row r="245" spans="1:29" ht="19.5" customHeight="1">
      <c r="A245" s="201"/>
      <c r="B245" s="201"/>
      <c r="C245" s="201"/>
      <c r="D245" s="201"/>
      <c r="E245" s="201"/>
      <c r="F245" s="201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</row>
    <row r="246" spans="7:22" ht="19.5" customHeight="1"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</row>
    <row r="247" spans="7:22" ht="19.5" customHeight="1"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</row>
    <row r="248" spans="7:22" ht="19.5" customHeight="1"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</row>
    <row r="249" spans="7:22" ht="19.5" customHeight="1"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</row>
    <row r="250" spans="7:22" ht="19.5" customHeight="1"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</row>
    <row r="251" spans="7:22" ht="19.5" customHeight="1"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</row>
    <row r="252" spans="7:22" ht="19.5" customHeight="1"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</row>
    <row r="253" spans="7:22" ht="19.5" customHeight="1"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</row>
    <row r="254" spans="7:22" ht="19.5" customHeight="1"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</row>
    <row r="255" spans="7:22" ht="19.5" customHeight="1"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</row>
    <row r="256" spans="7:22" ht="19.5" customHeight="1"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</row>
    <row r="257" spans="7:22" ht="19.5" customHeight="1"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</row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</sheetData>
  <sheetProtection sheet="1"/>
  <mergeCells count="59">
    <mergeCell ref="A1:F1"/>
    <mergeCell ref="A2:F2"/>
    <mergeCell ref="A4:F4"/>
    <mergeCell ref="A5:C5"/>
    <mergeCell ref="D5:F5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A23:F23"/>
    <mergeCell ref="A24:C24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42:F42"/>
    <mergeCell ref="A43:C43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A67:F67"/>
    <mergeCell ref="A68:C68"/>
    <mergeCell ref="D68:F68"/>
    <mergeCell ref="D70:F70"/>
    <mergeCell ref="D71:F71"/>
    <mergeCell ref="D72:F72"/>
    <mergeCell ref="D73:F73"/>
    <mergeCell ref="A89:F89"/>
    <mergeCell ref="A90:C90"/>
    <mergeCell ref="D90:F90"/>
    <mergeCell ref="D92:F92"/>
    <mergeCell ref="D93:F93"/>
    <mergeCell ref="D94:F94"/>
    <mergeCell ref="D95:F95"/>
    <mergeCell ref="A110:F110"/>
    <mergeCell ref="A111:F111"/>
    <mergeCell ref="C124:E125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/>
  <dcterms:created xsi:type="dcterms:W3CDTF">2005-10-07T16:47:14Z</dcterms:created>
  <dcterms:modified xsi:type="dcterms:W3CDTF">2010-12-09T00:42:31Z</dcterms:modified>
  <cp:category/>
  <cp:version/>
  <cp:contentType/>
  <cp:contentStatus/>
  <cp:revision>156</cp:revision>
</cp:coreProperties>
</file>