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5475" activeTab="0"/>
  </bookViews>
  <sheets>
    <sheet name="Forward with reset winding" sheetId="1" r:id="rId1"/>
    <sheet name="Forward with RCD reset" sheetId="2" r:id="rId2"/>
    <sheet name="FPS Line-up" sheetId="3" r:id="rId3"/>
  </sheets>
  <definedNames>
    <definedName name="Ae" localSheetId="1">'Forward with RCD reset'!$C$52</definedName>
    <definedName name="Ae">'Forward with reset winding'!$C$52</definedName>
    <definedName name="Ael" localSheetId="1">'Forward with RCD reset'!$C$83</definedName>
    <definedName name="Ael">'Forward with reset winding'!$C$84</definedName>
    <definedName name="AL" localSheetId="1">'Forward with RCD reset'!$C$65</definedName>
    <definedName name="AL">'Forward with reset winding'!$C$66</definedName>
    <definedName name="Bast" localSheetId="1">'Forward with RCD reset'!$C$84</definedName>
    <definedName name="Bast">'Forward with reset winding'!$C$85</definedName>
    <definedName name="Bmax" localSheetId="1">'Forward with RCD reset'!$C$50</definedName>
    <definedName name="Bmax">'Forward with reset winding'!$C$50</definedName>
    <definedName name="Bsat" localSheetId="1">'Forward with RCD reset'!$C$84</definedName>
    <definedName name="Bsat">'Forward with reset winding'!$C$85</definedName>
    <definedName name="CB" localSheetId="1">'Forward with RCD reset'!#REF!*10^-9</definedName>
    <definedName name="CB">'Forward with reset winding'!#REF!*10^-9</definedName>
    <definedName name="Cdc" localSheetId="1">'Forward with RCD reset'!$C$23/1000000</definedName>
    <definedName name="Cdc">'Forward with reset winding'!$C$23/1000000</definedName>
    <definedName name="CF" localSheetId="1">'Forward with RCD reset'!#REF!*10^-9</definedName>
    <definedName name="CF">'Forward with reset winding'!#REF!*10^-9</definedName>
    <definedName name="Co_1" localSheetId="1">'Forward with RCD reset'!$C$116</definedName>
    <definedName name="Co_1">'Forward with reset winding'!$C$117</definedName>
    <definedName name="Co_2" localSheetId="1">'Forward with RCD reset'!$C$117</definedName>
    <definedName name="Co_2">'Forward with reset winding'!$C$118</definedName>
    <definedName name="Co_3" localSheetId="1">'Forward with RCD reset'!$C$118</definedName>
    <definedName name="Co_3">'Forward with reset winding'!$C$119</definedName>
    <definedName name="Co_4" localSheetId="1">'Forward with RCD reset'!$C$119</definedName>
    <definedName name="Co_4">'Forward with reset winding'!$C$120</definedName>
    <definedName name="Co_5" localSheetId="1">'Forward with RCD reset'!#REF!</definedName>
    <definedName name="Co_5">'Forward with reset winding'!#REF!</definedName>
    <definedName name="Co_6" localSheetId="1">'Forward with RCD reset'!#REF!</definedName>
    <definedName name="Co_6">'Forward with reset winding'!#REF!</definedName>
    <definedName name="Coss">'Forward with RCD reset'!$C$122/10^12</definedName>
    <definedName name="Dmax" localSheetId="1">'Forward with RCD reset'!$C$29</definedName>
    <definedName name="Dmax">'Forward with reset winding'!$C$29</definedName>
    <definedName name="Eff" localSheetId="1">'Forward with RCD reset'!$C$19/100</definedName>
    <definedName name="Eff">'Forward with reset winding'!$C$19/100</definedName>
    <definedName name="ffi" localSheetId="1">'Forward with RCD reset'!#REF!</definedName>
    <definedName name="ffi">'Forward with reset winding'!#REF!</definedName>
    <definedName name="ffp" localSheetId="1">'Forward with RCD reset'!$C$190</definedName>
    <definedName name="ffp">'Forward with reset winding'!$C$191</definedName>
    <definedName name="ffz" localSheetId="1">'Forward with RCD reset'!#REF!</definedName>
    <definedName name="ffz">'Forward with reset winding'!#REF!</definedName>
    <definedName name="fi" localSheetId="1">'Forward with RCD reset'!$C$143</definedName>
    <definedName name="fi">'Forward with reset winding'!$C$141</definedName>
    <definedName name="fL" localSheetId="1">'Forward with RCD reset'!$C$11</definedName>
    <definedName name="fL">'Forward with reset winding'!$C$11</definedName>
    <definedName name="fp" localSheetId="1">'Forward with RCD reset'!$C$145</definedName>
    <definedName name="fp">'Forward with reset winding'!$C$143</definedName>
    <definedName name="fp_1" localSheetId="1">'Forward with RCD reset'!$C$133</definedName>
    <definedName name="fp_1">'Forward with reset winding'!$C$131</definedName>
    <definedName name="fs" localSheetId="1">'Forward with RCD reset'!$C$49*1000</definedName>
    <definedName name="fs">'Forward with reset winding'!$C$49*1000</definedName>
    <definedName name="fz" localSheetId="1">'Forward with RCD reset'!$C$144</definedName>
    <definedName name="fz">'Forward with reset winding'!$C$142</definedName>
    <definedName name="fz_1" localSheetId="1">'Forward with RCD reset'!$C$132</definedName>
    <definedName name="fz_1">'Forward with reset winding'!$C$130</definedName>
    <definedName name="fzr" localSheetId="1">'Forward with RCD reset'!#REF!</definedName>
    <definedName name="fzr">'Forward with reset winding'!#REF!</definedName>
    <definedName name="Ids_peak" localSheetId="1">'Forward with RCD reset'!$C$35</definedName>
    <definedName name="Ids_peak">'Forward with reset winding'!$C$35</definedName>
    <definedName name="Ids_rms" localSheetId="1">'Forward with RCD reset'!$C$36</definedName>
    <definedName name="Ids_rms">'Forward with reset winding'!$C$36</definedName>
    <definedName name="Ilim" localSheetId="1">'Forward with RCD reset'!$C$37</definedName>
    <definedName name="Ilim">'Forward with reset winding'!$C$37</definedName>
    <definedName name="Io_1" localSheetId="1">'Forward with RCD reset'!$E$14</definedName>
    <definedName name="Io_1">'Forward with reset winding'!$E$14</definedName>
    <definedName name="Io_2" localSheetId="1">'Forward with RCD reset'!$E$15</definedName>
    <definedName name="Io_2">'Forward with reset winding'!$E$15</definedName>
    <definedName name="Io_3" localSheetId="1">'Forward with RCD reset'!$E$16</definedName>
    <definedName name="Io_3">'Forward with reset winding'!$E$16</definedName>
    <definedName name="Io_4" localSheetId="1">'Forward with RCD reset'!$E$17</definedName>
    <definedName name="Io_4">'Forward with reset winding'!$E$17</definedName>
    <definedName name="Io_5" localSheetId="1">'Forward with RCD reset'!#REF!</definedName>
    <definedName name="Io_5">'Forward with reset winding'!#REF!</definedName>
    <definedName name="Io_6" localSheetId="1">'Forward with RCD reset'!#REF!</definedName>
    <definedName name="Io_6">'Forward with reset winding'!#REF!</definedName>
    <definedName name="Io1rms" localSheetId="1">'Forward with RCD reset'!$G$73</definedName>
    <definedName name="Io1rms">'Forward with reset winding'!$G$75</definedName>
    <definedName name="Io2rms" localSheetId="1">'Forward with RCD reset'!$G$74</definedName>
    <definedName name="Io2rms">'Forward with reset winding'!$G$76</definedName>
    <definedName name="Io3rms" localSheetId="1">'Forward with RCD reset'!$G$75</definedName>
    <definedName name="Io3rms">'Forward with reset winding'!$G$77</definedName>
    <definedName name="Io4rms" localSheetId="1">'Forward with RCD reset'!$G$76</definedName>
    <definedName name="Io4rms">'Forward with reset winding'!$G$78</definedName>
    <definedName name="Io5rms" localSheetId="1">'Forward with RCD reset'!#REF!</definedName>
    <definedName name="Io5rms">'Forward with reset winding'!#REF!</definedName>
    <definedName name="Io6rms" localSheetId="1">'Forward with RCD reset'!#REF!</definedName>
    <definedName name="Io6rms">'Forward with reset winding'!#REF!</definedName>
    <definedName name="Ipk" localSheetId="1">'Forward with RCD reset'!#REF!</definedName>
    <definedName name="Ipk">'Forward with reset winding'!#REF!</definedName>
    <definedName name="Irms" localSheetId="1">'Forward with RCD reset'!#REF!</definedName>
    <definedName name="Irms">'Forward with reset winding'!#REF!</definedName>
    <definedName name="K_1" localSheetId="1">'Forward with RCD reset'!$C$131</definedName>
    <definedName name="K_1">'Forward with reset winding'!$C$129</definedName>
    <definedName name="KL1" localSheetId="1">'Forward with RCD reset'!$I$14/100</definedName>
    <definedName name="KL1">'Forward with reset winding'!$I$14/100</definedName>
    <definedName name="KL2" localSheetId="1">'Forward with RCD reset'!$I$15/100</definedName>
    <definedName name="KL2">'Forward with reset winding'!$I$15/100</definedName>
    <definedName name="KL3" localSheetId="1">'Forward with RCD reset'!$I$16/100</definedName>
    <definedName name="KL3">'Forward with reset winding'!$I$16/100</definedName>
    <definedName name="KL4" localSheetId="1">'Forward with RCD reset'!$I$17/100</definedName>
    <definedName name="KL4">'Forward with reset winding'!$I$17/100</definedName>
    <definedName name="KL5" localSheetId="1">'Forward with RCD reset'!#REF!/100</definedName>
    <definedName name="KL5">'Forward with reset winding'!#REF!/100</definedName>
    <definedName name="KL6" localSheetId="1">'Forward with RCD reset'!#REF!/100</definedName>
    <definedName name="KL6">'Forward with reset winding'!#REF!/100</definedName>
    <definedName name="KRF" localSheetId="1">'Forward with RCD reset'!$C$34</definedName>
    <definedName name="KRF">'Forward with reset winding'!$C$34</definedName>
    <definedName name="L_1" localSheetId="1">'Forward with RCD reset'!$C$85/1000000</definedName>
    <definedName name="L_1">'Forward with reset winding'!$C$86/1000000</definedName>
    <definedName name="Llk" localSheetId="1">'Forward with RCD reset'!#REF!/1000000</definedName>
    <definedName name="Llk">'Forward with reset winding'!$C$123</definedName>
    <definedName name="Lm" localSheetId="1">'Forward with RCD reset'!$C$66/1000</definedName>
    <definedName name="Lm">'Forward with reset winding'!$C$67/1000</definedName>
    <definedName name="Nc" localSheetId="1">'Forward with RCD reset'!$I$58</definedName>
    <definedName name="Nc">'Forward with reset winding'!$I$58</definedName>
    <definedName name="Nl1" localSheetId="1">'Forward with RCD reset'!$C$87</definedName>
    <definedName name="Nl1">'Forward with reset winding'!$C$88</definedName>
    <definedName name="Nl2" localSheetId="1">'Forward with RCD reset'!$C$88</definedName>
    <definedName name="Nl2">'Forward with reset winding'!$E$89</definedName>
    <definedName name="Nl3" localSheetId="1">'Forward with RCD reset'!$C$89</definedName>
    <definedName name="Nl3">'Forward with reset winding'!$E$90</definedName>
    <definedName name="Nl4" localSheetId="1">'Forward with RCD reset'!$C$90</definedName>
    <definedName name="Nl4">'Forward with reset winding'!$E$91</definedName>
    <definedName name="Np" localSheetId="1">'Forward with RCD reset'!$I$63</definedName>
    <definedName name="Np">'Forward with reset winding'!$I$64</definedName>
    <definedName name="NpNr">'Forward with reset winding'!$C$30</definedName>
    <definedName name="Nr" localSheetId="1">'Forward with RCD reset'!#REF!</definedName>
    <definedName name="Nr">'Forward with reset winding'!$I$63</definedName>
    <definedName name="Ns1" localSheetId="1">'Forward with RCD reset'!$I$59</definedName>
    <definedName name="Ns1">'Forward with reset winding'!$I$59</definedName>
    <definedName name="Ns2" localSheetId="1">'Forward with RCD reset'!$I$60</definedName>
    <definedName name="Ns2">'Forward with reset winding'!$I$60</definedName>
    <definedName name="Ns3" localSheetId="1">'Forward with RCD reset'!$I$61</definedName>
    <definedName name="Ns3">'Forward with reset winding'!$I$61</definedName>
    <definedName name="Ns4" localSheetId="1">'Forward with RCD reset'!$I$62</definedName>
    <definedName name="Ns4">'Forward with reset winding'!$I$62</definedName>
    <definedName name="Ns5" localSheetId="1">'Forward with RCD reset'!#REF!</definedName>
    <definedName name="Ns5">'Forward with reset winding'!#REF!</definedName>
    <definedName name="Ns6" localSheetId="1">'Forward with RCD reset'!#REF!</definedName>
    <definedName name="Ns6">'Forward with reset winding'!#REF!</definedName>
    <definedName name="nvo">'Forward with RCD reset'!$G$122</definedName>
    <definedName name="Pin" localSheetId="1">'Forward with RCD reset'!$C$20</definedName>
    <definedName name="Pin">'Forward with reset winding'!$C$20</definedName>
    <definedName name="Po" localSheetId="1">'Forward with RCD reset'!$C$18</definedName>
    <definedName name="Po">'Forward with reset winding'!$C$18</definedName>
    <definedName name="R_1" localSheetId="1">'Forward with RCD reset'!#REF!*1000</definedName>
    <definedName name="R_1">'Forward with reset winding'!#REF!*1000</definedName>
    <definedName name="Rc_1" localSheetId="1">'Forward with RCD reset'!$E$116</definedName>
    <definedName name="Rc_1">'Forward with reset winding'!$E$117</definedName>
    <definedName name="Rc_2" localSheetId="1">'Forward with RCD reset'!$E$117</definedName>
    <definedName name="Rc_2">'Forward with reset winding'!$E$118</definedName>
    <definedName name="Rc_3" localSheetId="1">'Forward with RCD reset'!$E$118</definedName>
    <definedName name="Rc_3">'Forward with reset winding'!$E$119</definedName>
    <definedName name="Rc_4" localSheetId="1">'Forward with RCD reset'!$E$119</definedName>
    <definedName name="Rc_4">'Forward with reset winding'!$E$120</definedName>
    <definedName name="Rc_5" localSheetId="1">'Forward with RCD reset'!#REF!</definedName>
    <definedName name="Rc_5">'Forward with reset winding'!#REF!</definedName>
    <definedName name="Rc_6" localSheetId="1">'Forward with RCD reset'!#REF!</definedName>
    <definedName name="Rc_6">'Forward with reset winding'!#REF!</definedName>
    <definedName name="RD" localSheetId="1">'Forward with RCD reset'!#REF!*1000</definedName>
    <definedName name="RD">'Forward with reset winding'!#REF!*1000</definedName>
    <definedName name="Rsn" localSheetId="1">'Forward with RCD reset'!#REF!*1000</definedName>
    <definedName name="Rsn">'Forward with reset winding'!#REF!*1000</definedName>
    <definedName name="V_line_max" localSheetId="1">'Forward with RCD reset'!$C$10</definedName>
    <definedName name="V_line_max">'Forward with reset winding'!$C$10</definedName>
    <definedName name="V_line_min" localSheetId="1">'Forward with RCD reset'!$C$9</definedName>
    <definedName name="V_line_min">'Forward with reset winding'!$C$9</definedName>
    <definedName name="Vcc" localSheetId="1">'Forward with RCD reset'!$C$58</definedName>
    <definedName name="Vcc">'Forward with reset winding'!$C$58</definedName>
    <definedName name="Vdc_ccm" localSheetId="1">'Forward with RCD reset'!$C$54</definedName>
    <definedName name="Vdc_ccm">'Forward with reset winding'!$C$54</definedName>
    <definedName name="Vdc_max" localSheetId="1">'Forward with RCD reset'!$C$26</definedName>
    <definedName name="Vdc_max">'Forward with reset winding'!$C$26</definedName>
    <definedName name="Vdc_min" localSheetId="1">'Forward with RCD reset'!$C$25</definedName>
    <definedName name="Vdc_min">'Forward with reset winding'!$C$25</definedName>
    <definedName name="VF1" localSheetId="1">'Forward with RCD reset'!$E$59</definedName>
    <definedName name="VF1">'Forward with reset winding'!$E$59</definedName>
    <definedName name="VF2" localSheetId="1">'Forward with RCD reset'!$E$60</definedName>
    <definedName name="VF2">'Forward with reset winding'!$E$60</definedName>
    <definedName name="VF3" localSheetId="1">'Forward with RCD reset'!$E$61</definedName>
    <definedName name="VF3">'Forward with reset winding'!$E$61</definedName>
    <definedName name="VF4" localSheetId="1">'Forward with RCD reset'!$E$62</definedName>
    <definedName name="VF4">'Forward with reset winding'!$E$62</definedName>
    <definedName name="VF5" localSheetId="1">'Forward with RCD reset'!#REF!</definedName>
    <definedName name="VF5">'Forward with reset winding'!#REF!</definedName>
    <definedName name="VF6" localSheetId="1">'Forward with RCD reset'!#REF!</definedName>
    <definedName name="VF6">'Forward with reset winding'!#REF!</definedName>
    <definedName name="VFC" localSheetId="1">'Forward with RCD reset'!$E$58</definedName>
    <definedName name="VFC">'Forward with reset winding'!$E$58</definedName>
    <definedName name="Vo1" localSheetId="1">'Forward with RCD reset'!$C$14</definedName>
    <definedName name="Vo1">'Forward with reset winding'!$C$14</definedName>
    <definedName name="Vo2" localSheetId="1">'Forward with RCD reset'!$C$15</definedName>
    <definedName name="Vo2">'Forward with reset winding'!$C$15</definedName>
    <definedName name="Vo3" localSheetId="1">'Forward with RCD reset'!$C$16</definedName>
    <definedName name="Vo3">'Forward with reset winding'!$C$16</definedName>
    <definedName name="Vo4" localSheetId="1">'Forward with RCD reset'!$C$17</definedName>
    <definedName name="Vo4">'Forward with reset winding'!$C$17</definedName>
    <definedName name="Vo5" localSheetId="1">'Forward with RCD reset'!#REF!</definedName>
    <definedName name="Vo5">'Forward with reset winding'!#REF!</definedName>
    <definedName name="Vo6" localSheetId="1">'Forward with RCD reset'!#REF!</definedName>
    <definedName name="Vo6">'Forward with reset winding'!#REF!</definedName>
    <definedName name="VRO" localSheetId="1">'Forward with RCD reset'!$C$32</definedName>
    <definedName name="VRO">'Forward with reset winding'!$C$32</definedName>
    <definedName name="Vsn" localSheetId="1">'Forward with RCD reset'!$C$30</definedName>
    <definedName name="Vsn">'Forward with reset winding'!$C$124</definedName>
    <definedName name="_xlnm.Print_Area" localSheetId="2">'FPS Line-up'!$A$1:$R$86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9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comments2.xml><?xml version="1.0" encoding="utf-8"?>
<comments xmlns="http://schemas.openxmlformats.org/spreadsheetml/2006/main">
  <authors>
    <author>hangseok</author>
  </authors>
  <commentList>
    <comment ref="C29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<sst xmlns="http://schemas.openxmlformats.org/spreadsheetml/2006/main" count="1249" uniqueCount="409">
  <si>
    <t>is the input parameters</t>
  </si>
  <si>
    <t>Blue cell</t>
  </si>
  <si>
    <t>Red cell</t>
  </si>
  <si>
    <t>V</t>
  </si>
  <si>
    <t>Hz</t>
  </si>
  <si>
    <t>W</t>
  </si>
  <si>
    <t>%</t>
  </si>
  <si>
    <t>DC link voltage ripple =</t>
  </si>
  <si>
    <t>Minimum DC link voltage =</t>
  </si>
  <si>
    <t>V</t>
  </si>
  <si>
    <t>uH</t>
  </si>
  <si>
    <t>is the output parameters</t>
  </si>
  <si>
    <t>uF</t>
  </si>
  <si>
    <t xml:space="preserve">Maximum duty ratio </t>
  </si>
  <si>
    <t>Maximum peak drain current =</t>
  </si>
  <si>
    <t>DC link capacitor</t>
  </si>
  <si>
    <t xml:space="preserve">Estimated AP value of core = </t>
  </si>
  <si>
    <r>
      <t>mm</t>
    </r>
    <r>
      <rPr>
        <b/>
        <vertAlign val="superscript"/>
        <sz val="11"/>
        <color indexed="60"/>
        <rFont val="돋움"/>
        <family val="3"/>
      </rPr>
      <t>4</t>
    </r>
  </si>
  <si>
    <t>2nd output</t>
  </si>
  <si>
    <t>3rd output</t>
  </si>
  <si>
    <t>4th output</t>
  </si>
  <si>
    <t>A</t>
  </si>
  <si>
    <t>A</t>
  </si>
  <si>
    <t>A</t>
  </si>
  <si>
    <t>W</t>
  </si>
  <si>
    <t>W</t>
  </si>
  <si>
    <t>W</t>
  </si>
  <si>
    <t>%</t>
  </si>
  <si>
    <t>%</t>
  </si>
  <si>
    <t>%</t>
  </si>
  <si>
    <t>1. Define specifications of the SMPS</t>
  </si>
  <si>
    <t>1st output for feedback</t>
  </si>
  <si>
    <t>Switching frequency of FPS (kHz)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</si>
  <si>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</si>
  <si>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</si>
  <si>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Minimum primary turns =</t>
  </si>
  <si>
    <t>T</t>
  </si>
  <si>
    <t>V</t>
  </si>
  <si>
    <t>VF : Forward voltage drop of rectifier diode</t>
  </si>
  <si>
    <t>6. Determine the numner of turns for each outputs</t>
  </si>
  <si>
    <t>Vo</t>
  </si>
  <si>
    <t>VF</t>
  </si>
  <si>
    <t>=&gt;</t>
  </si>
  <si>
    <t>T</t>
  </si>
  <si>
    <t># of turns</t>
  </si>
  <si>
    <t>Diameter</t>
  </si>
  <si>
    <t>T</t>
  </si>
  <si>
    <t>mm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</si>
  <si>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</si>
  <si>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</si>
  <si>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</si>
  <si>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t>Copper area =</t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</si>
  <si>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</si>
  <si>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Fill factor</t>
  </si>
  <si>
    <t>Required window area</t>
  </si>
  <si>
    <t>Vcc diode</t>
  </si>
  <si>
    <t>1st output diode</t>
  </si>
  <si>
    <t>2nd output diode</t>
  </si>
  <si>
    <t>3rd output diode</t>
  </si>
  <si>
    <t>4th output diode</t>
  </si>
  <si>
    <t>Reverse voltage</t>
  </si>
  <si>
    <t xml:space="preserve">Irms </t>
  </si>
  <si>
    <t>uF</t>
  </si>
  <si>
    <t>1st output capacitor</t>
  </si>
  <si>
    <t>2nd output capacitor</t>
  </si>
  <si>
    <t>3rd output capacitor</t>
  </si>
  <si>
    <t>4th output capacitor</t>
  </si>
  <si>
    <t>ESR</t>
  </si>
  <si>
    <t>mΩ</t>
  </si>
  <si>
    <t>ripple</t>
  </si>
  <si>
    <t>Current</t>
  </si>
  <si>
    <t>Ripple</t>
  </si>
  <si>
    <t>Voltage</t>
  </si>
  <si>
    <t>㏀</t>
  </si>
  <si>
    <t>V.rms</t>
  </si>
  <si>
    <t>Hz</t>
  </si>
  <si>
    <r>
      <t>nH/T</t>
    </r>
    <r>
      <rPr>
        <vertAlign val="superscript"/>
        <sz val="11"/>
        <rFont val="돋움"/>
        <family val="3"/>
      </rPr>
      <t>2</t>
    </r>
  </si>
  <si>
    <t>Vcc (Use Vcc start voltage)</t>
  </si>
  <si>
    <t>1st output for feedback</t>
  </si>
  <si>
    <t>2nd output</t>
  </si>
  <si>
    <t>3rd output</t>
  </si>
  <si>
    <t>Vcc winding</t>
  </si>
  <si>
    <t>1st output winding</t>
  </si>
  <si>
    <t>2nd output winding</t>
  </si>
  <si>
    <t>3rd output winding</t>
  </si>
  <si>
    <t>4th output winding</t>
  </si>
  <si>
    <t>Feedback integrator gain (fi) =</t>
  </si>
  <si>
    <t>Feedback zero (fz) =</t>
  </si>
  <si>
    <t>Feedback pole (fp) =</t>
  </si>
  <si>
    <t>Opto coupler diode resistor (RD)</t>
  </si>
  <si>
    <t>Voltage divider resistor (R2)</t>
  </si>
  <si>
    <t>431 Bias resistor (Rbias)</t>
  </si>
  <si>
    <t>nF</t>
  </si>
  <si>
    <t>Feeback pin capacitor (CB) =</t>
  </si>
  <si>
    <t>Feedback Capacitor (CF) =</t>
  </si>
  <si>
    <t>Feedback resistor (RF) =</t>
  </si>
  <si>
    <t>Maximum output power (Po) =</t>
  </si>
  <si>
    <t>Maximum input power (Pin) =</t>
  </si>
  <si>
    <t>Cross sectional area of core (Ae)</t>
  </si>
  <si>
    <t>Voltage divider resistor (R1)</t>
  </si>
  <si>
    <t>㏀</t>
  </si>
  <si>
    <t xml:space="preserve">㏀ </t>
  </si>
  <si>
    <t>Control-to-output DC gain =</t>
  </si>
  <si>
    <t>Control-to-output zero =</t>
  </si>
  <si>
    <t>Control-to-output pole =</t>
  </si>
  <si>
    <t>AL value (no gap)</t>
  </si>
  <si>
    <t>FPS Design Assistant  ver.1.0</t>
  </si>
  <si>
    <t>By Choi</t>
  </si>
  <si>
    <t>Io</t>
  </si>
  <si>
    <t>Po</t>
  </si>
  <si>
    <t>KL</t>
  </si>
  <si>
    <t>Minimum Line voltage (V_line.min)</t>
  </si>
  <si>
    <t>Maximum Line voltage (V_line.max)</t>
  </si>
  <si>
    <t>Line frequency (fL)</t>
  </si>
  <si>
    <t>Estimated efficiency (Eff)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</si>
  <si>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</si>
  <si>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</si>
  <si>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</si>
  <si>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</si>
  <si>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</si>
  <si>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</si>
  <si>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</si>
  <si>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</si>
  <si>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</si>
  <si>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</si>
  <si>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</si>
  <si>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</si>
  <si>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</si>
  <si>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</si>
  <si>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</si>
  <si>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</si>
  <si>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</si>
  <si>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</si>
  <si>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</si>
  <si>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</si>
  <si>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</si>
  <si>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</si>
  <si>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</si>
  <si>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Maximum flux density swing</t>
  </si>
  <si>
    <t>Capacitance</t>
  </si>
  <si>
    <t>Rms Current</t>
  </si>
  <si>
    <t>Maximum nominal MOSFET voltage =</t>
  </si>
  <si>
    <t>2. Determine DC link capacitor and the DC voltage range</t>
  </si>
  <si>
    <t>Maximum DC link voltage =</t>
  </si>
  <si>
    <t>For forward converter with reset winding</t>
  </si>
  <si>
    <t>3. Determine the maximum duty ratio (Dmax)</t>
  </si>
  <si>
    <t>Turns ratio (Np/Nr)</t>
  </si>
  <si>
    <t>&gt;</t>
  </si>
  <si>
    <t>4. Determine the ripple factor of the output inductor current</t>
  </si>
  <si>
    <t>RMS drain current =</t>
  </si>
  <si>
    <t>5. Determine proper core and minimum primary turns for transformer</t>
  </si>
  <si>
    <t>Transformer magnetizing inductance =</t>
  </si>
  <si>
    <t>mH</t>
  </si>
  <si>
    <t xml:space="preserve"> Primary turns =</t>
  </si>
  <si>
    <t xml:space="preserve"> Reset winding =</t>
  </si>
  <si>
    <t>7. Determine the wire diameter for each transformer winding</t>
  </si>
  <si>
    <t>Primary winding (Np)</t>
  </si>
  <si>
    <t>Reset winding (Nr)</t>
  </si>
  <si>
    <t>8. Determine proper core and number of turns for inductor (coupled inductor)</t>
  </si>
  <si>
    <t>Cross sectional area of Inductor core (Ae)</t>
  </si>
  <si>
    <t>Saturation flux density</t>
  </si>
  <si>
    <t>Actual number of turns for L1</t>
  </si>
  <si>
    <t>Number of turns for L2 =</t>
  </si>
  <si>
    <t>Number of turns for L3 =</t>
  </si>
  <si>
    <t>Number of turns for L4 =</t>
  </si>
  <si>
    <t>9. Determine the wire diameter for each inductor winding</t>
  </si>
  <si>
    <t>Winding for L1</t>
  </si>
  <si>
    <t>Winding for L4</t>
  </si>
  <si>
    <t>Winding for L2</t>
  </si>
  <si>
    <t>Winding for L3</t>
  </si>
  <si>
    <t>Inductance of 1st output (L1) =</t>
  </si>
  <si>
    <t>Minimum turns of L1 =</t>
  </si>
  <si>
    <t>10. Determine the rectifier diodes in the secondary side</t>
  </si>
  <si>
    <t xml:space="preserve">11. Determine the output capacitor </t>
  </si>
  <si>
    <t>12. Design the Reset Circuit</t>
  </si>
  <si>
    <t>Reset diode rms current</t>
  </si>
  <si>
    <t>Maximum voltage of reset diode</t>
  </si>
  <si>
    <t>Output Inductor current ripple factor</t>
  </si>
  <si>
    <t>13. Design Feedback control loop</t>
  </si>
  <si>
    <t>Current limit of FPS</t>
  </si>
  <si>
    <t>FPS Design Assistant  ver.1.0</t>
  </si>
  <si>
    <t>By Choi</t>
  </si>
  <si>
    <t>Blue cell</t>
  </si>
  <si>
    <t>Red cell</t>
  </si>
  <si>
    <t>Po</t>
  </si>
  <si>
    <t>1st output for feedback</t>
  </si>
  <si>
    <t>2nd output</t>
  </si>
  <si>
    <t>3rd output</t>
  </si>
  <si>
    <t>4th output</t>
  </si>
  <si>
    <t xml:space="preserve">Maximum duty ratio </t>
  </si>
  <si>
    <t>RMS drain current =</t>
  </si>
  <si>
    <t>Switching frequency of FPS (kHz)</t>
  </si>
  <si>
    <t>kHz</t>
  </si>
  <si>
    <t>Minimum primary turns =</t>
  </si>
  <si>
    <t># of turns</t>
  </si>
  <si>
    <t>Vcc (Use Vcc start voltage)</t>
  </si>
  <si>
    <t>VF : Forward voltage drop of rectifier diode</t>
  </si>
  <si>
    <t>AL value (no gap)</t>
  </si>
  <si>
    <t>Primary winding (Np)</t>
  </si>
  <si>
    <t>mm</t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</si>
  <si>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</si>
  <si>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Saturation flux density</t>
  </si>
  <si>
    <t>Inductance of 1st output (L1) =</t>
  </si>
  <si>
    <t>Actual number of turns for L1</t>
  </si>
  <si>
    <t>Number of turns for L2 =</t>
  </si>
  <si>
    <t>Winding for L2</t>
  </si>
  <si>
    <t>Winding for L3</t>
  </si>
  <si>
    <t>Winding for L4</t>
  </si>
  <si>
    <t>Reverse voltage</t>
  </si>
  <si>
    <t>Voltage divider resistor (R1)</t>
  </si>
  <si>
    <t xml:space="preserve">㏀ </t>
  </si>
  <si>
    <t>For forward converter with RCD reset</t>
  </si>
  <si>
    <t>Nominal snubber capacitor voltage</t>
  </si>
  <si>
    <t>Output capacitance of MOSFET</t>
  </si>
  <si>
    <t>pF</t>
  </si>
  <si>
    <t>Snubber capacitor voltage ripple</t>
  </si>
  <si>
    <t>Power loss in the snubber resistor=</t>
  </si>
  <si>
    <t>Maximum voltage of reset diode=</t>
  </si>
  <si>
    <t>Reset diode rms current=</t>
  </si>
  <si>
    <t>Snubber resistor=</t>
  </si>
  <si>
    <t>KΩ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</si>
  <si>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</si>
  <si>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</si>
  <si>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</si>
  <si>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</si>
  <si>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</si>
  <si>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</si>
  <si>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</si>
  <si>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</si>
  <si>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</si>
  <si>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</si>
  <si>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</si>
  <si>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</si>
  <si>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</si>
  <si>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</si>
  <si>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</si>
  <si>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</si>
  <si>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</si>
  <si>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</si>
  <si>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</si>
  <si>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</si>
  <si>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</si>
  <si>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</si>
  <si>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</si>
  <si>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</si>
  <si>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</si>
  <si>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</si>
  <si>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</si>
  <si>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</si>
  <si>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</si>
  <si>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</si>
  <si>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</si>
  <si>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</si>
  <si>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</si>
  <si>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</si>
  <si>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</si>
  <si>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</si>
  <si>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</si>
  <si>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</si>
  <si>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</si>
  <si>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</si>
  <si>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</si>
  <si>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</si>
  <si>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</si>
  <si>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</si>
  <si>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</si>
  <si>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</si>
  <si>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</si>
  <si>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</si>
  <si>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</si>
  <si>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</si>
  <si>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</si>
  <si>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</si>
  <si>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</si>
  <si>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</si>
  <si>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</si>
  <si>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</si>
  <si>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</si>
  <si>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</si>
  <si>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</si>
  <si>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</si>
  <si>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</si>
  <si>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</si>
  <si>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</si>
  <si>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</si>
  <si>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</si>
  <si>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</si>
  <si>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</si>
  <si>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</si>
  <si>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</si>
  <si>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</si>
  <si>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</si>
  <si>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</si>
  <si>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</si>
  <si>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</si>
  <si>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</si>
  <si>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</si>
  <si>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</si>
  <si>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</si>
  <si>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</si>
  <si>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</si>
  <si>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</si>
  <si>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</si>
  <si>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</si>
  <si>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</si>
  <si>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</si>
  <si>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</si>
  <si>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</si>
  <si>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</si>
  <si>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</si>
  <si>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</si>
  <si>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</si>
  <si>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</si>
  <si>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</si>
  <si>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</si>
  <si>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</si>
  <si>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</si>
  <si>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</si>
  <si>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</si>
  <si>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</si>
  <si>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</si>
  <si>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</si>
  <si>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</si>
  <si>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</si>
  <si>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</si>
  <si>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</si>
  <si>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</si>
  <si>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</si>
  <si>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</si>
  <si>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</si>
  <si>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</si>
  <si>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</si>
  <si>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</si>
  <si>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</si>
  <si>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</si>
  <si>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</si>
  <si>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</si>
  <si>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</si>
  <si>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</si>
  <si>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</si>
  <si>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</si>
  <si>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</si>
  <si>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</si>
  <si>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</si>
  <si>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</si>
  <si>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</si>
  <si>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</si>
  <si>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</si>
  <si>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</si>
  <si>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</si>
  <si>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</si>
  <si>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</si>
  <si>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</si>
  <si>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</si>
  <si>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</si>
  <si>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</si>
  <si>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</si>
  <si>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</si>
  <si>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</si>
  <si>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</si>
  <si>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</si>
  <si>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</si>
  <si>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</si>
  <si>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</si>
  <si>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</si>
  <si>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</si>
  <si>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</si>
  <si>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</si>
  <si>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</si>
  <si>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</si>
  <si>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</si>
  <si>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</si>
  <si>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</si>
  <si>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</si>
  <si>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</si>
  <si>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</si>
  <si>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</si>
  <si>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</si>
  <si>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</si>
  <si>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</si>
  <si>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</si>
  <si>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</si>
  <si>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</si>
  <si>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</si>
  <si>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</si>
  <si>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</si>
  <si>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</si>
  <si>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</si>
  <si>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</si>
  <si>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</si>
  <si>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</si>
  <si>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</si>
  <si>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</si>
  <si>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</si>
  <si>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</si>
  <si>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</si>
  <si>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</si>
  <si>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</si>
  <si>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</si>
  <si>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</si>
  <si>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</si>
  <si>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</si>
  <si>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</si>
  <si>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</si>
  <si>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</si>
  <si>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</si>
  <si>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</si>
  <si>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</si>
  <si>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Snubber capacitor=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</si>
</sst>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.00_);[Red]\(0.00\)"/>
    <numFmt numFmtId="186" formatCode="0.00000000_);[Red]\(0.00000000\)"/>
    <numFmt numFmtId="187" formatCode="0_);[Red]\(0\)"/>
  </numFmts>
  <fonts count="89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8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Times New Roman CE"/>
      <family val="1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돋움"/>
      <family val="0"/>
    </font>
    <font>
      <sz val="7.35"/>
      <color indexed="8"/>
      <name val="돋움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8" fillId="0" borderId="0">
      <alignment/>
      <protection/>
    </xf>
    <xf numFmtId="38" fontId="26" fillId="20" borderId="0" applyNumberFormat="0" applyBorder="0" applyAlignment="0" applyProtection="0"/>
    <xf numFmtId="0" fontId="29" fillId="0" borderId="0">
      <alignment horizontal="left"/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6" fillId="20" borderId="3" applyNumberFormat="0" applyBorder="0" applyAlignment="0" applyProtection="0"/>
    <xf numFmtId="0" fontId="31" fillId="0" borderId="4">
      <alignment/>
      <protection/>
    </xf>
    <xf numFmtId="184" fontId="0" fillId="0" borderId="0">
      <alignment/>
      <protection/>
    </xf>
    <xf numFmtId="0" fontId="46" fillId="0" borderId="0">
      <alignment/>
      <protection/>
    </xf>
    <xf numFmtId="10" fontId="2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21" borderId="0" applyNumberFormat="0" applyFont="0" applyBorder="0" applyAlignment="0" applyProtection="0"/>
    <xf numFmtId="0" fontId="31" fillId="0" borderId="0">
      <alignment/>
      <protection/>
    </xf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8" borderId="5" applyNumberFormat="0" applyAlignment="0" applyProtection="0"/>
    <xf numFmtId="0" fontId="74" fillId="29" borderId="6" applyNumberFormat="0" applyAlignment="0" applyProtection="0"/>
    <xf numFmtId="0" fontId="75" fillId="29" borderId="5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30" borderId="11" applyNumberFormat="0" applyAlignment="0" applyProtection="0"/>
    <xf numFmtId="0" fontId="81" fillId="0" borderId="0" applyNumberFormat="0" applyFill="0" applyBorder="0" applyAlignment="0" applyProtection="0"/>
    <xf numFmtId="0" fontId="82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85" fillId="0" borderId="13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4" borderId="0" applyNumberFormat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6" fillId="0" borderId="0">
      <alignment/>
      <protection/>
    </xf>
  </cellStyleXfs>
  <cellXfs count="358">
    <xf numFmtId="0" fontId="0" fillId="0" borderId="0" xfId="0" applyAlignment="1">
      <alignment/>
    </xf>
    <xf numFmtId="176" fontId="4" fillId="35" borderId="0" xfId="0" applyNumberFormat="1" applyFont="1" applyFill="1" applyAlignment="1" applyProtection="1">
      <alignment horizontal="center"/>
      <protection hidden="1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37" borderId="0" xfId="0" applyFont="1" applyFill="1" applyAlignment="1" applyProtection="1">
      <alignment/>
      <protection hidden="1"/>
    </xf>
    <xf numFmtId="0" fontId="13" fillId="37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Fill="1" applyAlignment="1">
      <alignment/>
    </xf>
    <xf numFmtId="0" fontId="7" fillId="36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11" fillId="36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13" fillId="39" borderId="0" xfId="0" applyFont="1" applyFill="1" applyAlignment="1">
      <alignment/>
    </xf>
    <xf numFmtId="0" fontId="7" fillId="0" borderId="0" xfId="0" applyFont="1" applyFill="1" applyAlignment="1" applyProtection="1" quotePrefix="1">
      <alignment/>
      <protection locked="0"/>
    </xf>
    <xf numFmtId="0" fontId="5" fillId="40" borderId="0" xfId="0" applyFont="1" applyFill="1" applyAlignment="1">
      <alignment/>
    </xf>
    <xf numFmtId="0" fontId="7" fillId="36" borderId="0" xfId="0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3" fillId="40" borderId="0" xfId="0" applyFont="1" applyFill="1" applyAlignment="1">
      <alignment/>
    </xf>
    <xf numFmtId="0" fontId="18" fillId="38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8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8" fillId="39" borderId="0" xfId="0" applyFont="1" applyFill="1" applyAlignment="1">
      <alignment/>
    </xf>
    <xf numFmtId="0" fontId="20" fillId="4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8" fontId="7" fillId="36" borderId="0" xfId="0" applyNumberFormat="1" applyFont="1" applyFill="1" applyAlignment="1" applyProtection="1">
      <alignment/>
      <protection locked="0"/>
    </xf>
    <xf numFmtId="179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8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0" fillId="40" borderId="0" xfId="0" applyFont="1" applyFill="1" applyAlignment="1">
      <alignment horizontal="center" vertical="center"/>
    </xf>
    <xf numFmtId="0" fontId="13" fillId="39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8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186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6" fontId="4" fillId="35" borderId="0" xfId="0" applyNumberFormat="1" applyFont="1" applyFill="1" applyAlignment="1" applyProtection="1">
      <alignment/>
      <protection hidden="1"/>
    </xf>
    <xf numFmtId="177" fontId="5" fillId="35" borderId="0" xfId="0" applyNumberFormat="1" applyFont="1" applyFill="1" applyAlignment="1" applyProtection="1">
      <alignment/>
      <protection hidden="1"/>
    </xf>
    <xf numFmtId="176" fontId="5" fillId="35" borderId="0" xfId="0" applyNumberFormat="1" applyFont="1" applyFill="1" applyAlignment="1" applyProtection="1">
      <alignment/>
      <protection hidden="1"/>
    </xf>
    <xf numFmtId="178" fontId="5" fillId="35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>
      <alignment/>
    </xf>
    <xf numFmtId="176" fontId="11" fillId="36" borderId="0" xfId="0" applyNumberFormat="1" applyFont="1" applyFill="1" applyAlignment="1" applyProtection="1">
      <alignment/>
      <protection locked="0"/>
    </xf>
    <xf numFmtId="0" fontId="25" fillId="20" borderId="0" xfId="0" applyFont="1" applyFill="1" applyAlignment="1">
      <alignment vertical="center"/>
    </xf>
    <xf numFmtId="0" fontId="25" fillId="41" borderId="14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/>
    </xf>
    <xf numFmtId="0" fontId="48" fillId="20" borderId="16" xfId="0" applyFont="1" applyFill="1" applyBorder="1" applyAlignment="1">
      <alignment horizontal="center" vertical="center"/>
    </xf>
    <xf numFmtId="0" fontId="35" fillId="20" borderId="17" xfId="0" applyFont="1" applyFill="1" applyBorder="1" applyAlignment="1">
      <alignment horizontal="left" vertical="center"/>
    </xf>
    <xf numFmtId="0" fontId="35" fillId="20" borderId="18" xfId="0" applyFont="1" applyFill="1" applyBorder="1" applyAlignment="1">
      <alignment horizontal="left" vertical="center"/>
    </xf>
    <xf numFmtId="0" fontId="27" fillId="20" borderId="0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0" xfId="0" applyFont="1" applyFill="1" applyAlignment="1">
      <alignment vertical="center"/>
    </xf>
    <xf numFmtId="0" fontId="48" fillId="41" borderId="19" xfId="0" applyFont="1" applyFill="1" applyBorder="1" applyAlignment="1">
      <alignment horizontal="left" vertical="center"/>
    </xf>
    <xf numFmtId="0" fontId="49" fillId="41" borderId="19" xfId="0" applyFont="1" applyFill="1" applyBorder="1" applyAlignment="1">
      <alignment horizontal="left" vertical="center"/>
    </xf>
    <xf numFmtId="0" fontId="48" fillId="20" borderId="19" xfId="0" applyFont="1" applyFill="1" applyBorder="1" applyAlignment="1">
      <alignment horizontal="center" vertical="center"/>
    </xf>
    <xf numFmtId="0" fontId="48" fillId="20" borderId="20" xfId="0" applyFont="1" applyFill="1" applyBorder="1" applyAlignment="1">
      <alignment horizontal="center" vertical="center"/>
    </xf>
    <xf numFmtId="183" fontId="48" fillId="20" borderId="19" xfId="0" applyNumberFormat="1" applyFont="1" applyFill="1" applyBorder="1" applyAlignment="1">
      <alignment horizontal="center" vertical="center"/>
    </xf>
    <xf numFmtId="0" fontId="48" fillId="20" borderId="19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vertical="center"/>
    </xf>
    <xf numFmtId="0" fontId="48" fillId="20" borderId="0" xfId="0" applyFont="1" applyFill="1" applyAlignment="1">
      <alignment vertical="center"/>
    </xf>
    <xf numFmtId="0" fontId="48" fillId="20" borderId="18" xfId="0" applyFont="1" applyFill="1" applyBorder="1" applyAlignment="1">
      <alignment horizontal="center" vertical="center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21" xfId="0" applyFont="1" applyFill="1" applyBorder="1" applyAlignment="1">
      <alignment horizontal="center" vertical="center" wrapText="1"/>
    </xf>
    <xf numFmtId="0" fontId="48" fillId="20" borderId="22" xfId="0" applyFont="1" applyFill="1" applyBorder="1" applyAlignment="1">
      <alignment vertical="center"/>
    </xf>
    <xf numFmtId="0" fontId="48" fillId="20" borderId="14" xfId="0" applyFont="1" applyFill="1" applyBorder="1" applyAlignment="1">
      <alignment horizontal="center" vertical="center"/>
    </xf>
    <xf numFmtId="0" fontId="48" fillId="41" borderId="21" xfId="0" applyFont="1" applyFill="1" applyBorder="1" applyAlignment="1">
      <alignment horizontal="left" vertical="center"/>
    </xf>
    <xf numFmtId="0" fontId="49" fillId="41" borderId="21" xfId="0" applyFont="1" applyFill="1" applyBorder="1" applyAlignment="1">
      <alignment horizontal="left" vertical="center"/>
    </xf>
    <xf numFmtId="0" fontId="48" fillId="20" borderId="21" xfId="0" applyFont="1" applyFill="1" applyBorder="1" applyAlignment="1">
      <alignment horizontal="center" vertical="center"/>
    </xf>
    <xf numFmtId="183" fontId="48" fillId="20" borderId="21" xfId="0" applyNumberFormat="1" applyFont="1" applyFill="1" applyBorder="1" applyAlignment="1">
      <alignment horizontal="center" vertical="center"/>
    </xf>
    <xf numFmtId="0" fontId="48" fillId="41" borderId="23" xfId="0" applyFont="1" applyFill="1" applyBorder="1" applyAlignment="1">
      <alignment horizontal="left" vertical="center"/>
    </xf>
    <xf numFmtId="0" fontId="49" fillId="41" borderId="23" xfId="0" applyFont="1" applyFill="1" applyBorder="1" applyAlignment="1">
      <alignment horizontal="left" vertical="center"/>
    </xf>
    <xf numFmtId="0" fontId="48" fillId="20" borderId="23" xfId="0" applyFont="1" applyFill="1" applyBorder="1" applyAlignment="1">
      <alignment horizontal="center" vertical="center"/>
    </xf>
    <xf numFmtId="183" fontId="48" fillId="20" borderId="23" xfId="0" applyNumberFormat="1" applyFont="1" applyFill="1" applyBorder="1" applyAlignment="1">
      <alignment horizontal="center" vertical="center"/>
    </xf>
    <xf numFmtId="0" fontId="48" fillId="20" borderId="19" xfId="0" applyFont="1" applyFill="1" applyBorder="1" applyAlignment="1">
      <alignment horizontal="left" vertical="center"/>
    </xf>
    <xf numFmtId="0" fontId="48" fillId="20" borderId="14" xfId="0" applyFont="1" applyFill="1" applyBorder="1" applyAlignment="1">
      <alignment vertical="center"/>
    </xf>
    <xf numFmtId="0" fontId="48" fillId="20" borderId="22" xfId="0" applyFont="1" applyFill="1" applyBorder="1" applyAlignment="1">
      <alignment horizontal="center" vertical="center"/>
    </xf>
    <xf numFmtId="0" fontId="48" fillId="20" borderId="23" xfId="0" applyFont="1" applyFill="1" applyBorder="1" applyAlignment="1">
      <alignment vertical="center"/>
    </xf>
    <xf numFmtId="0" fontId="27" fillId="20" borderId="17" xfId="0" applyFont="1" applyFill="1" applyBorder="1" applyAlignment="1">
      <alignment vertical="center"/>
    </xf>
    <xf numFmtId="0" fontId="25" fillId="20" borderId="17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right" vertical="center"/>
    </xf>
    <xf numFmtId="0" fontId="48" fillId="20" borderId="19" xfId="0" applyFont="1" applyFill="1" applyBorder="1" applyAlignment="1">
      <alignment vertical="center"/>
    </xf>
    <xf numFmtId="0" fontId="48" fillId="20" borderId="21" xfId="0" applyFont="1" applyFill="1" applyBorder="1" applyAlignment="1">
      <alignment vertical="center"/>
    </xf>
    <xf numFmtId="0" fontId="48" fillId="41" borderId="14" xfId="0" applyFont="1" applyFill="1" applyBorder="1" applyAlignment="1">
      <alignment horizontal="left" vertical="center"/>
    </xf>
    <xf numFmtId="0" fontId="49" fillId="41" borderId="14" xfId="0" applyFont="1" applyFill="1" applyBorder="1" applyAlignment="1">
      <alignment horizontal="left" vertical="center"/>
    </xf>
    <xf numFmtId="0" fontId="27" fillId="20" borderId="20" xfId="0" applyFont="1" applyFill="1" applyBorder="1" applyAlignment="1">
      <alignment vertical="center"/>
    </xf>
    <xf numFmtId="0" fontId="25" fillId="20" borderId="20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right" vertical="center"/>
    </xf>
    <xf numFmtId="0" fontId="25" fillId="41" borderId="19" xfId="0" applyFont="1" applyFill="1" applyBorder="1" applyAlignment="1">
      <alignment horizontal="left" vertical="center"/>
    </xf>
    <xf numFmtId="0" fontId="33" fillId="41" borderId="19" xfId="0" applyFont="1" applyFill="1" applyBorder="1" applyAlignment="1">
      <alignment horizontal="left" vertical="center"/>
    </xf>
    <xf numFmtId="0" fontId="25" fillId="20" borderId="19" xfId="0" applyFont="1" applyFill="1" applyBorder="1" applyAlignment="1">
      <alignment horizontal="center" vertical="center"/>
    </xf>
    <xf numFmtId="183" fontId="25" fillId="20" borderId="19" xfId="0" applyNumberFormat="1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left" vertical="center" indent="1"/>
    </xf>
    <xf numFmtId="14" fontId="0" fillId="20" borderId="0" xfId="0" applyNumberFormat="1" applyFill="1" applyAlignment="1">
      <alignment/>
    </xf>
    <xf numFmtId="0" fontId="25" fillId="20" borderId="21" xfId="0" applyFont="1" applyFill="1" applyBorder="1" applyAlignment="1">
      <alignment vertical="center"/>
    </xf>
    <xf numFmtId="0" fontId="25" fillId="41" borderId="23" xfId="0" applyFont="1" applyFill="1" applyBorder="1" applyAlignment="1">
      <alignment horizontal="left" vertical="center"/>
    </xf>
    <xf numFmtId="0" fontId="33" fillId="41" borderId="23" xfId="0" applyFont="1" applyFill="1" applyBorder="1" applyAlignment="1">
      <alignment horizontal="left" vertical="center"/>
    </xf>
    <xf numFmtId="0" fontId="25" fillId="20" borderId="23" xfId="0" applyFont="1" applyFill="1" applyBorder="1" applyAlignment="1">
      <alignment horizontal="center" vertical="center"/>
    </xf>
    <xf numFmtId="183" fontId="25" fillId="20" borderId="23" xfId="0" applyNumberFormat="1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0" fontId="25" fillId="41" borderId="21" xfId="0" applyFont="1" applyFill="1" applyBorder="1" applyAlignment="1">
      <alignment horizontal="left" vertical="center"/>
    </xf>
    <xf numFmtId="0" fontId="39" fillId="41" borderId="21" xfId="0" applyFont="1" applyFill="1" applyBorder="1" applyAlignment="1">
      <alignment horizontal="left" vertical="center"/>
    </xf>
    <xf numFmtId="0" fontId="25" fillId="20" borderId="21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left" vertical="center"/>
    </xf>
    <xf numFmtId="0" fontId="25" fillId="20" borderId="21" xfId="0" applyFont="1" applyFill="1" applyBorder="1" applyAlignment="1">
      <alignment horizontal="left" vertical="center" indent="1"/>
    </xf>
    <xf numFmtId="0" fontId="33" fillId="41" borderId="21" xfId="0" applyFont="1" applyFill="1" applyBorder="1" applyAlignment="1">
      <alignment horizontal="left" vertical="center"/>
    </xf>
    <xf numFmtId="183" fontId="25" fillId="20" borderId="21" xfId="0" applyNumberFormat="1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14" fontId="36" fillId="20" borderId="0" xfId="0" applyNumberFormat="1" applyFont="1" applyFill="1" applyAlignment="1">
      <alignment/>
    </xf>
    <xf numFmtId="0" fontId="36" fillId="41" borderId="21" xfId="0" applyFont="1" applyFill="1" applyBorder="1" applyAlignment="1">
      <alignment horizontal="left" vertical="center"/>
    </xf>
    <xf numFmtId="0" fontId="36" fillId="20" borderId="21" xfId="0" applyFont="1" applyFill="1" applyBorder="1" applyAlignment="1">
      <alignment horizontal="center" vertical="center"/>
    </xf>
    <xf numFmtId="2" fontId="36" fillId="20" borderId="21" xfId="0" applyNumberFormat="1" applyFont="1" applyFill="1" applyBorder="1" applyAlignment="1">
      <alignment horizontal="center" vertical="center"/>
    </xf>
    <xf numFmtId="183" fontId="36" fillId="20" borderId="21" xfId="0" applyNumberFormat="1" applyFont="1" applyFill="1" applyBorder="1" applyAlignment="1">
      <alignment horizontal="center" vertical="center"/>
    </xf>
    <xf numFmtId="0" fontId="36" fillId="20" borderId="22" xfId="0" applyFont="1" applyFill="1" applyBorder="1" applyAlignment="1">
      <alignment horizontal="center" vertical="center"/>
    </xf>
    <xf numFmtId="0" fontId="36" fillId="20" borderId="21" xfId="0" applyFont="1" applyFill="1" applyBorder="1" applyAlignment="1">
      <alignment vertical="center"/>
    </xf>
    <xf numFmtId="0" fontId="36" fillId="20" borderId="0" xfId="0" applyFont="1" applyFill="1" applyAlignment="1">
      <alignment vertical="center"/>
    </xf>
    <xf numFmtId="0" fontId="36" fillId="41" borderId="19" xfId="0" applyFont="1" applyFill="1" applyBorder="1" applyAlignment="1">
      <alignment horizontal="left" vertical="center"/>
    </xf>
    <xf numFmtId="0" fontId="37" fillId="41" borderId="19" xfId="0" applyFont="1" applyFill="1" applyBorder="1" applyAlignment="1">
      <alignment horizontal="left" vertical="center"/>
    </xf>
    <xf numFmtId="0" fontId="36" fillId="20" borderId="19" xfId="0" applyFont="1" applyFill="1" applyBorder="1" applyAlignment="1">
      <alignment horizontal="center" vertical="center"/>
    </xf>
    <xf numFmtId="183" fontId="36" fillId="20" borderId="19" xfId="0" applyNumberFormat="1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38" fillId="41" borderId="21" xfId="0" applyFont="1" applyFill="1" applyBorder="1" applyAlignment="1">
      <alignment horizontal="left" vertical="center"/>
    </xf>
    <xf numFmtId="0" fontId="38" fillId="20" borderId="21" xfId="0" applyFont="1" applyFill="1" applyBorder="1" applyAlignment="1">
      <alignment horizontal="center" vertical="center"/>
    </xf>
    <xf numFmtId="183" fontId="38" fillId="20" borderId="21" xfId="0" applyNumberFormat="1" applyFont="1" applyFill="1" applyBorder="1" applyAlignment="1">
      <alignment horizontal="center" vertical="center"/>
    </xf>
    <xf numFmtId="0" fontId="38" fillId="20" borderId="22" xfId="0" applyFont="1" applyFill="1" applyBorder="1" applyAlignment="1">
      <alignment horizontal="center" vertical="center" wrapText="1"/>
    </xf>
    <xf numFmtId="0" fontId="38" fillId="20" borderId="0" xfId="0" applyFont="1" applyFill="1" applyAlignment="1">
      <alignment vertical="center"/>
    </xf>
    <xf numFmtId="0" fontId="25" fillId="20" borderId="16" xfId="0" applyFont="1" applyFill="1" applyBorder="1" applyAlignment="1">
      <alignment horizontal="center" vertical="center" wrapText="1"/>
    </xf>
    <xf numFmtId="0" fontId="27" fillId="20" borderId="24" xfId="0" applyFont="1" applyFill="1" applyBorder="1" applyAlignment="1">
      <alignment vertical="center"/>
    </xf>
    <xf numFmtId="0" fontId="25" fillId="20" borderId="24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right" vertical="center"/>
    </xf>
    <xf numFmtId="176" fontId="48" fillId="20" borderId="19" xfId="0" applyNumberFormat="1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/>
    </xf>
    <xf numFmtId="0" fontId="36" fillId="20" borderId="19" xfId="0" applyFont="1" applyFill="1" applyBorder="1" applyAlignment="1">
      <alignment horizontal="left" vertical="center"/>
    </xf>
    <xf numFmtId="0" fontId="36" fillId="41" borderId="23" xfId="0" applyFont="1" applyFill="1" applyBorder="1" applyAlignment="1">
      <alignment horizontal="left" vertical="center"/>
    </xf>
    <xf numFmtId="0" fontId="37" fillId="41" borderId="23" xfId="0" applyFont="1" applyFill="1" applyBorder="1" applyAlignment="1">
      <alignment horizontal="left" vertical="center"/>
    </xf>
    <xf numFmtId="0" fontId="36" fillId="20" borderId="23" xfId="0" applyFont="1" applyFill="1" applyBorder="1" applyAlignment="1">
      <alignment horizontal="center" vertical="center"/>
    </xf>
    <xf numFmtId="176" fontId="36" fillId="20" borderId="23" xfId="0" applyNumberFormat="1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40" fillId="20" borderId="0" xfId="0" applyFont="1" applyFill="1" applyAlignment="1">
      <alignment vertical="center"/>
    </xf>
    <xf numFmtId="0" fontId="37" fillId="41" borderId="21" xfId="0" applyFont="1" applyFill="1" applyBorder="1" applyAlignment="1">
      <alignment horizontal="left" vertical="center"/>
    </xf>
    <xf numFmtId="0" fontId="36" fillId="20" borderId="19" xfId="0" applyFont="1" applyFill="1" applyBorder="1" applyAlignment="1">
      <alignment horizontal="center" vertical="center" wrapText="1"/>
    </xf>
    <xf numFmtId="183" fontId="36" fillId="20" borderId="23" xfId="0" applyNumberFormat="1" applyFont="1" applyFill="1" applyBorder="1" applyAlignment="1">
      <alignment horizontal="center" vertical="center"/>
    </xf>
    <xf numFmtId="0" fontId="36" fillId="20" borderId="23" xfId="0" applyFont="1" applyFill="1" applyBorder="1" applyAlignment="1">
      <alignment horizontal="center" vertical="center" wrapText="1"/>
    </xf>
    <xf numFmtId="0" fontId="36" fillId="20" borderId="21" xfId="0" applyFont="1" applyFill="1" applyBorder="1" applyAlignment="1">
      <alignment horizontal="center" vertical="center" wrapText="1"/>
    </xf>
    <xf numFmtId="0" fontId="36" fillId="20" borderId="21" xfId="0" applyFont="1" applyFill="1" applyBorder="1" applyAlignment="1">
      <alignment horizontal="left" vertical="center"/>
    </xf>
    <xf numFmtId="0" fontId="36" fillId="20" borderId="25" xfId="0" applyFont="1" applyFill="1" applyBorder="1" applyAlignment="1">
      <alignment horizontal="center" vertical="center"/>
    </xf>
    <xf numFmtId="49" fontId="36" fillId="20" borderId="15" xfId="0" applyNumberFormat="1" applyFont="1" applyFill="1" applyBorder="1" applyAlignment="1">
      <alignment horizontal="center" vertical="center"/>
    </xf>
    <xf numFmtId="0" fontId="38" fillId="41" borderId="23" xfId="0" applyFont="1" applyFill="1" applyBorder="1" applyAlignment="1">
      <alignment horizontal="left" vertical="center"/>
    </xf>
    <xf numFmtId="0" fontId="39" fillId="41" borderId="23" xfId="0" applyFont="1" applyFill="1" applyBorder="1" applyAlignment="1">
      <alignment horizontal="left" vertical="center"/>
    </xf>
    <xf numFmtId="0" fontId="38" fillId="20" borderId="23" xfId="0" applyFont="1" applyFill="1" applyBorder="1" applyAlignment="1">
      <alignment horizontal="center" vertical="center"/>
    </xf>
    <xf numFmtId="183" fontId="38" fillId="20" borderId="23" xfId="0" applyNumberFormat="1" applyFont="1" applyFill="1" applyBorder="1" applyAlignment="1">
      <alignment horizontal="center" vertical="center"/>
    </xf>
    <xf numFmtId="0" fontId="38" fillId="20" borderId="26" xfId="0" applyFont="1" applyFill="1" applyBorder="1" applyAlignment="1">
      <alignment horizontal="center" vertical="center"/>
    </xf>
    <xf numFmtId="0" fontId="38" fillId="20" borderId="16" xfId="0" applyFont="1" applyFill="1" applyBorder="1" applyAlignment="1">
      <alignment horizontal="center" vertical="center"/>
    </xf>
    <xf numFmtId="0" fontId="38" fillId="20" borderId="23" xfId="0" applyFont="1" applyFill="1" applyBorder="1" applyAlignment="1">
      <alignment horizontal="center" vertical="center" wrapText="1"/>
    </xf>
    <xf numFmtId="0" fontId="38" fillId="20" borderId="23" xfId="0" applyFont="1" applyFill="1" applyBorder="1" applyAlignment="1">
      <alignment horizontal="left" vertical="center"/>
    </xf>
    <xf numFmtId="14" fontId="50" fillId="20" borderId="0" xfId="0" applyNumberFormat="1" applyFont="1" applyFill="1" applyAlignment="1">
      <alignment/>
    </xf>
    <xf numFmtId="0" fontId="38" fillId="20" borderId="19" xfId="0" applyFont="1" applyFill="1" applyBorder="1" applyAlignment="1">
      <alignment horizontal="center" vertical="center"/>
    </xf>
    <xf numFmtId="0" fontId="38" fillId="20" borderId="21" xfId="0" applyFont="1" applyFill="1" applyBorder="1" applyAlignment="1">
      <alignment horizontal="left" vertical="center"/>
    </xf>
    <xf numFmtId="0" fontId="38" fillId="41" borderId="14" xfId="0" applyFont="1" applyFill="1" applyBorder="1" applyAlignment="1">
      <alignment horizontal="left" vertical="center"/>
    </xf>
    <xf numFmtId="0" fontId="39" fillId="41" borderId="14" xfId="0" applyFont="1" applyFill="1" applyBorder="1" applyAlignment="1">
      <alignment horizontal="left" vertical="center"/>
    </xf>
    <xf numFmtId="0" fontId="38" fillId="20" borderId="14" xfId="0" applyFont="1" applyFill="1" applyBorder="1" applyAlignment="1">
      <alignment horizontal="center" vertical="center"/>
    </xf>
    <xf numFmtId="0" fontId="38" fillId="20" borderId="18" xfId="0" applyFont="1" applyFill="1" applyBorder="1" applyAlignment="1">
      <alignment horizontal="center" vertical="center"/>
    </xf>
    <xf numFmtId="0" fontId="38" fillId="20" borderId="14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left" vertical="center"/>
    </xf>
    <xf numFmtId="0" fontId="38" fillId="20" borderId="22" xfId="0" applyFont="1" applyFill="1" applyBorder="1" applyAlignment="1">
      <alignment horizontal="center" vertical="center"/>
    </xf>
    <xf numFmtId="0" fontId="38" fillId="20" borderId="21" xfId="0" applyFont="1" applyFill="1" applyBorder="1" applyAlignment="1">
      <alignment horizontal="center" vertical="center" wrapText="1"/>
    </xf>
    <xf numFmtId="0" fontId="38" fillId="41" borderId="19" xfId="0" applyFont="1" applyFill="1" applyBorder="1" applyAlignment="1">
      <alignment horizontal="left" vertical="center"/>
    </xf>
    <xf numFmtId="183" fontId="38" fillId="20" borderId="19" xfId="0" applyNumberFormat="1" applyFont="1" applyFill="1" applyBorder="1" applyAlignment="1">
      <alignment horizontal="center" vertical="center"/>
    </xf>
    <xf numFmtId="0" fontId="38" fillId="20" borderId="15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center" vertical="center" wrapText="1"/>
    </xf>
    <xf numFmtId="0" fontId="38" fillId="20" borderId="19" xfId="0" applyFont="1" applyFill="1" applyBorder="1" applyAlignment="1">
      <alignment horizontal="left" vertical="center"/>
    </xf>
    <xf numFmtId="0" fontId="40" fillId="20" borderId="0" xfId="0" applyFont="1" applyFill="1" applyBorder="1" applyAlignment="1">
      <alignment horizontal="left" vertical="center" indent="1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center" vertical="center"/>
    </xf>
    <xf numFmtId="183" fontId="40" fillId="20" borderId="0" xfId="0" applyNumberFormat="1" applyFont="1" applyFill="1" applyBorder="1" applyAlignment="1">
      <alignment horizontal="center" vertical="center"/>
    </xf>
    <xf numFmtId="0" fontId="40" fillId="20" borderId="0" xfId="0" applyFont="1" applyFill="1" applyBorder="1" applyAlignment="1">
      <alignment horizontal="left" vertical="center"/>
    </xf>
    <xf numFmtId="0" fontId="25" fillId="20" borderId="0" xfId="0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25" fillId="20" borderId="0" xfId="0" applyFont="1" applyFill="1" applyBorder="1" applyAlignment="1">
      <alignment vertical="center"/>
    </xf>
    <xf numFmtId="0" fontId="36" fillId="41" borderId="20" xfId="0" applyFont="1" applyFill="1" applyBorder="1" applyAlignment="1">
      <alignment horizontal="left" vertical="center" indent="1"/>
    </xf>
    <xf numFmtId="0" fontId="37" fillId="41" borderId="20" xfId="0" applyFont="1" applyFill="1" applyBorder="1" applyAlignment="1">
      <alignment horizontal="left" vertical="center" indent="1"/>
    </xf>
    <xf numFmtId="0" fontId="36" fillId="41" borderId="20" xfId="0" applyFont="1" applyFill="1" applyBorder="1" applyAlignment="1">
      <alignment vertical="center"/>
    </xf>
    <xf numFmtId="0" fontId="36" fillId="20" borderId="0" xfId="0" applyFont="1" applyFill="1" applyAlignment="1">
      <alignment horizontal="center" vertical="center"/>
    </xf>
    <xf numFmtId="0" fontId="36" fillId="41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0" xfId="0" applyFont="1" applyFill="1" applyBorder="1" applyAlignment="1">
      <alignment vertical="center"/>
    </xf>
    <xf numFmtId="0" fontId="36" fillId="41" borderId="24" xfId="0" applyFont="1" applyFill="1" applyBorder="1" applyAlignment="1">
      <alignment horizontal="right" vertical="center"/>
    </xf>
    <xf numFmtId="0" fontId="36" fillId="41" borderId="24" xfId="0" applyFont="1" applyFill="1" applyBorder="1" applyAlignment="1">
      <alignment horizontal="left" vertical="center" indent="1"/>
    </xf>
    <xf numFmtId="0" fontId="36" fillId="41" borderId="24" xfId="0" applyFont="1" applyFill="1" applyBorder="1" applyAlignment="1">
      <alignment vertical="center"/>
    </xf>
    <xf numFmtId="0" fontId="42" fillId="20" borderId="0" xfId="0" applyFont="1" applyFill="1" applyAlignment="1">
      <alignment horizontal="left" vertical="center" indent="1"/>
    </xf>
    <xf numFmtId="0" fontId="43" fillId="20" borderId="0" xfId="0" applyFont="1" applyFill="1" applyAlignment="1">
      <alignment horizontal="left" vertical="center" indent="1"/>
    </xf>
    <xf numFmtId="0" fontId="27" fillId="20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left" vertical="center" indent="1"/>
    </xf>
    <xf numFmtId="0" fontId="44" fillId="20" borderId="0" xfId="0" applyFont="1" applyFill="1" applyAlignment="1">
      <alignment horizontal="left" vertical="center" indent="1"/>
    </xf>
    <xf numFmtId="0" fontId="27" fillId="2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178" fontId="4" fillId="35" borderId="0" xfId="0" applyNumberFormat="1" applyFont="1" applyFill="1" applyAlignment="1" applyProtection="1">
      <alignment/>
      <protection hidden="1"/>
    </xf>
    <xf numFmtId="176" fontId="4" fillId="35" borderId="0" xfId="0" applyNumberFormat="1" applyFont="1" applyFill="1" applyAlignment="1" applyProtection="1">
      <alignment horizontal="center"/>
      <protection hidden="1"/>
    </xf>
    <xf numFmtId="177" fontId="5" fillId="35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87" fontId="5" fillId="35" borderId="0" xfId="0" applyNumberFormat="1" applyFont="1" applyFill="1" applyAlignment="1" applyProtection="1">
      <alignment/>
      <protection hidden="1"/>
    </xf>
    <xf numFmtId="187" fontId="5" fillId="35" borderId="0" xfId="0" applyNumberFormat="1" applyFont="1" applyFill="1" applyAlignment="1" applyProtection="1">
      <alignment horizontal="right"/>
      <protection hidden="1"/>
    </xf>
    <xf numFmtId="187" fontId="5" fillId="35" borderId="0" xfId="0" applyNumberFormat="1" applyFont="1" applyFill="1" applyAlignment="1" applyProtection="1">
      <alignment/>
      <protection hidden="1"/>
    </xf>
    <xf numFmtId="179" fontId="5" fillId="35" borderId="0" xfId="0" applyNumberFormat="1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185" fontId="5" fillId="35" borderId="0" xfId="0" applyNumberFormat="1" applyFont="1" applyFill="1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0" fontId="13" fillId="39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38" fillId="20" borderId="21" xfId="0" applyFont="1" applyFill="1" applyBorder="1" applyAlignment="1">
      <alignment horizontal="left" vertical="center"/>
    </xf>
    <xf numFmtId="0" fontId="38" fillId="20" borderId="23" xfId="0" applyFont="1" applyFill="1" applyBorder="1" applyAlignment="1">
      <alignment horizontal="left" vertical="center"/>
    </xf>
    <xf numFmtId="0" fontId="38" fillId="20" borderId="21" xfId="0" applyFont="1" applyFill="1" applyBorder="1" applyAlignment="1">
      <alignment horizontal="center" vertical="center"/>
    </xf>
    <xf numFmtId="0" fontId="38" fillId="20" borderId="23" xfId="0" applyFont="1" applyFill="1" applyBorder="1" applyAlignment="1">
      <alignment horizontal="center" vertical="center"/>
    </xf>
    <xf numFmtId="0" fontId="36" fillId="20" borderId="19" xfId="0" applyFont="1" applyFill="1" applyBorder="1" applyAlignment="1">
      <alignment horizontal="center" vertical="center"/>
    </xf>
    <xf numFmtId="0" fontId="36" fillId="20" borderId="23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left" vertical="center"/>
    </xf>
    <xf numFmtId="0" fontId="36" fillId="20" borderId="19" xfId="0" applyFont="1" applyFill="1" applyBorder="1" applyAlignment="1">
      <alignment horizontal="left" vertical="center"/>
    </xf>
    <xf numFmtId="0" fontId="36" fillId="20" borderId="23" xfId="0" applyFont="1" applyFill="1" applyBorder="1" applyAlignment="1">
      <alignment horizontal="left" vertical="center"/>
    </xf>
    <xf numFmtId="0" fontId="36" fillId="20" borderId="19" xfId="0" applyFont="1" applyFill="1" applyBorder="1" applyAlignment="1">
      <alignment horizontal="center" vertical="center" wrapText="1"/>
    </xf>
    <xf numFmtId="0" fontId="36" fillId="20" borderId="23" xfId="0" applyFont="1" applyFill="1" applyBorder="1" applyAlignment="1">
      <alignment horizontal="center" vertical="center" wrapText="1"/>
    </xf>
    <xf numFmtId="0" fontId="36" fillId="20" borderId="21" xfId="0" applyFont="1" applyFill="1" applyBorder="1" applyAlignment="1">
      <alignment horizontal="left" vertical="center"/>
    </xf>
    <xf numFmtId="0" fontId="35" fillId="20" borderId="17" xfId="0" applyFont="1" applyFill="1" applyBorder="1" applyAlignment="1">
      <alignment horizontal="left" vertical="center"/>
    </xf>
    <xf numFmtId="0" fontId="36" fillId="20" borderId="21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5" fillId="41" borderId="19" xfId="0" applyFont="1" applyFill="1" applyBorder="1" applyAlignment="1">
      <alignment horizontal="center" vertical="center"/>
    </xf>
    <xf numFmtId="0" fontId="25" fillId="41" borderId="21" xfId="0" applyFont="1" applyFill="1" applyBorder="1" applyAlignment="1">
      <alignment horizontal="center" vertical="center"/>
    </xf>
    <xf numFmtId="0" fontId="25" fillId="41" borderId="23" xfId="0" applyFont="1" applyFill="1" applyBorder="1" applyAlignment="1">
      <alignment horizontal="center" vertical="center"/>
    </xf>
    <xf numFmtId="0" fontId="25" fillId="41" borderId="25" xfId="0" applyFont="1" applyFill="1" applyBorder="1" applyAlignment="1">
      <alignment horizontal="center" vertical="center"/>
    </xf>
    <xf numFmtId="0" fontId="25" fillId="41" borderId="20" xfId="0" applyFont="1" applyFill="1" applyBorder="1" applyAlignment="1">
      <alignment horizontal="center" vertical="center"/>
    </xf>
    <xf numFmtId="0" fontId="25" fillId="41" borderId="15" xfId="0" applyFont="1" applyFill="1" applyBorder="1" applyAlignment="1">
      <alignment horizontal="center" vertical="center"/>
    </xf>
    <xf numFmtId="0" fontId="25" fillId="41" borderId="15" xfId="0" applyFont="1" applyFill="1" applyBorder="1" applyAlignment="1">
      <alignment horizontal="center" vertical="center" wrapText="1"/>
    </xf>
    <xf numFmtId="0" fontId="25" fillId="41" borderId="16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5" fillId="41" borderId="26" xfId="0" applyFont="1" applyFill="1" applyBorder="1" applyAlignment="1">
      <alignment horizontal="center" vertical="center" wrapText="1"/>
    </xf>
    <xf numFmtId="0" fontId="33" fillId="41" borderId="19" xfId="0" applyFont="1" applyFill="1" applyBorder="1" applyAlignment="1">
      <alignment horizontal="center" vertical="center" wrapText="1"/>
    </xf>
    <xf numFmtId="0" fontId="33" fillId="41" borderId="21" xfId="0" applyFont="1" applyFill="1" applyBorder="1" applyAlignment="1">
      <alignment horizontal="center" vertical="center" wrapText="1"/>
    </xf>
    <xf numFmtId="0" fontId="33" fillId="41" borderId="23" xfId="0" applyFont="1" applyFill="1" applyBorder="1" applyAlignment="1">
      <alignment horizontal="center" vertical="center" wrapText="1"/>
    </xf>
    <xf numFmtId="0" fontId="25" fillId="41" borderId="27" xfId="0" applyFont="1" applyFill="1" applyBorder="1" applyAlignment="1">
      <alignment horizontal="center" vertical="center" wrapText="1"/>
    </xf>
    <xf numFmtId="0" fontId="25" fillId="41" borderId="2" xfId="0" applyFont="1" applyFill="1" applyBorder="1" applyAlignment="1">
      <alignment horizontal="center" vertical="center" wrapText="1"/>
    </xf>
    <xf numFmtId="0" fontId="25" fillId="41" borderId="28" xfId="0" applyFont="1" applyFill="1" applyBorder="1" applyAlignment="1">
      <alignment horizontal="center" vertical="center" wrapText="1"/>
    </xf>
    <xf numFmtId="0" fontId="25" fillId="41" borderId="19" xfId="0" applyFont="1" applyFill="1" applyBorder="1" applyAlignment="1">
      <alignment horizontal="center" vertical="center" wrapText="1"/>
    </xf>
    <xf numFmtId="0" fontId="25" fillId="41" borderId="23" xfId="0" applyFont="1" applyFill="1" applyBorder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5" fillId="20" borderId="0" xfId="0" applyFont="1" applyFill="1" applyAlignment="1">
      <alignment horizontal="center" vertical="center"/>
    </xf>
    <xf numFmtId="0" fontId="25" fillId="41" borderId="22" xfId="0" applyFont="1" applyFill="1" applyBorder="1" applyAlignment="1">
      <alignment horizontal="center" vertical="center"/>
    </xf>
    <xf numFmtId="0" fontId="25" fillId="41" borderId="16" xfId="0" applyFont="1" applyFill="1" applyBorder="1" applyAlignment="1">
      <alignment horizontal="center" vertical="center"/>
    </xf>
    <xf numFmtId="0" fontId="25" fillId="41" borderId="22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/>
    </xf>
    <xf numFmtId="0" fontId="48" fillId="20" borderId="16" xfId="0" applyFont="1" applyFill="1" applyBorder="1" applyAlignment="1">
      <alignment horizontal="center" vertical="center"/>
    </xf>
    <xf numFmtId="0" fontId="48" fillId="20" borderId="14" xfId="0" applyFont="1" applyFill="1" applyBorder="1" applyAlignment="1">
      <alignment horizontal="center" vertical="center"/>
    </xf>
    <xf numFmtId="0" fontId="48" fillId="20" borderId="19" xfId="0" applyFont="1" applyFill="1" applyBorder="1" applyAlignment="1">
      <alignment horizontal="center" vertical="center" wrapText="1"/>
    </xf>
    <xf numFmtId="0" fontId="48" fillId="20" borderId="21" xfId="0" applyFont="1" applyFill="1" applyBorder="1" applyAlignment="1">
      <alignment horizontal="center" vertical="center" wrapText="1"/>
    </xf>
    <xf numFmtId="0" fontId="35" fillId="20" borderId="24" xfId="0" applyFont="1" applyFill="1" applyBorder="1" applyAlignment="1">
      <alignment horizontal="left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22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left" vertical="center"/>
    </xf>
    <xf numFmtId="0" fontId="35" fillId="20" borderId="14" xfId="0" applyFont="1" applyFill="1" applyBorder="1" applyAlignment="1">
      <alignment horizontal="left" vertical="center"/>
    </xf>
    <xf numFmtId="0" fontId="35" fillId="20" borderId="29" xfId="0" applyFont="1" applyFill="1" applyBorder="1" applyAlignment="1">
      <alignment horizontal="left" vertical="center"/>
    </xf>
    <xf numFmtId="0" fontId="48" fillId="20" borderId="19" xfId="0" applyFont="1" applyFill="1" applyBorder="1" applyAlignment="1">
      <alignment horizontal="center" vertical="center"/>
    </xf>
    <xf numFmtId="0" fontId="48" fillId="20" borderId="23" xfId="0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0" fontId="25" fillId="20" borderId="23" xfId="0" applyFont="1" applyFill="1" applyBorder="1" applyAlignment="1">
      <alignment horizontal="center" vertical="center"/>
    </xf>
    <xf numFmtId="0" fontId="48" fillId="20" borderId="21" xfId="0" applyFont="1" applyFill="1" applyBorder="1" applyAlignment="1">
      <alignment horizontal="center" vertical="center"/>
    </xf>
    <xf numFmtId="0" fontId="48" fillId="20" borderId="14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48" fillId="20" borderId="23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left" vertical="center"/>
    </xf>
    <xf numFmtId="0" fontId="25" fillId="20" borderId="19" xfId="0" applyFont="1" applyFill="1" applyBorder="1" applyAlignment="1">
      <alignment horizontal="left" vertical="center" wrapText="1"/>
    </xf>
    <xf numFmtId="0" fontId="25" fillId="20" borderId="21" xfId="0" applyFont="1" applyFill="1" applyBorder="1" applyAlignment="1">
      <alignment horizontal="left" vertical="center" wrapText="1"/>
    </xf>
    <xf numFmtId="0" fontId="25" fillId="20" borderId="23" xfId="0" applyFont="1" applyFill="1" applyBorder="1" applyAlignment="1">
      <alignment horizontal="left" vertical="center"/>
    </xf>
    <xf numFmtId="0" fontId="48" fillId="20" borderId="18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</cellXfs>
  <cellStyles count="67">
    <cellStyle name="Normal" xfId="0"/>
    <cellStyle name="??&amp;O?&amp;H?_x0008__x000F__x0007_?_x0007__x0001__x0001_" xfId="15"/>
    <cellStyle name="??&amp;O?&amp;H?_x0008_??_x0007__x0001__x0001_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ategory" xfId="35"/>
    <cellStyle name="Grey" xfId="36"/>
    <cellStyle name="HEADER" xfId="37"/>
    <cellStyle name="Header1" xfId="38"/>
    <cellStyle name="Header2" xfId="39"/>
    <cellStyle name="Input [yellow]" xfId="40"/>
    <cellStyle name="Model" xfId="41"/>
    <cellStyle name="Normal - Style1" xfId="42"/>
    <cellStyle name="Normal_&quot;CANCEL&quot; Volume Detail " xfId="43"/>
    <cellStyle name="Percent [2]" xfId="44"/>
    <cellStyle name="PSChar" xfId="45"/>
    <cellStyle name="PSSpacer" xfId="46"/>
    <cellStyle name="subhead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  <cellStyle name="콤마 [0]_10월2주 " xfId="78"/>
    <cellStyle name="콤마_10월2주 " xfId="79"/>
    <cellStyle name="常规_Sheet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425"/>
          <c:w val="0.9377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winding'!$C$146:$C$165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winding'!$D$146:$D$165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winding'!$B$146:$B$165</c:f>
              <c:numCache/>
            </c:numRef>
          </c:xVal>
          <c:yVal>
            <c:numRef>
              <c:f>'Forward with reset winding'!$E$146:$E$165</c:f>
              <c:numCache/>
            </c:numRef>
          </c:yVal>
          <c:smooth val="1"/>
        </c:ser>
        <c:axId val="11594862"/>
        <c:axId val="37244895"/>
      </c:scatterChart>
      <c:valAx>
        <c:axId val="11594862"/>
        <c:scaling>
          <c:logBase val="10"/>
          <c:orientation val="minMax"/>
          <c:max val="100000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37244895"/>
        <c:crosses val="autoZero"/>
        <c:crossBetween val="midCat"/>
        <c:dispUnits/>
        <c:majorUnit val="10"/>
        <c:minorUnit val="10"/>
      </c:valAx>
      <c:valAx>
        <c:axId val="372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09725"/>
          <c:w val="0.2347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325"/>
          <c:w val="0.92825"/>
          <c:h val="0.91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winding'!$H$146:$H$165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winding'!$I$146:$I$165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reset winding'!$G$146:$G$165</c:f>
              <c:numCache/>
            </c:numRef>
          </c:xVal>
          <c:yVal>
            <c:numRef>
              <c:f>'Forward with reset winding'!$J$146:$J$165</c:f>
              <c:numCache/>
            </c:numRef>
          </c:yVal>
          <c:smooth val="1"/>
        </c:ser>
        <c:axId val="66768600"/>
        <c:axId val="64046489"/>
      </c:scatterChart>
      <c:valAx>
        <c:axId val="66768600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 val="autoZero"/>
        <c:crossBetween val="midCat"/>
        <c:dispUnits/>
      </c:valAx>
      <c:valAx>
        <c:axId val="6404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425"/>
          <c:w val="0.9377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reset'!$D$148:$D$167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reset'!$B$148:$B$167</c:f>
              <c:numCache/>
            </c:numRef>
          </c:xVal>
          <c:yVal>
            <c:numRef>
              <c:f>'Forward with RCD reset'!$E$148:$E$167</c:f>
              <c:numCache/>
            </c:numRef>
          </c:yVal>
          <c:smooth val="1"/>
        </c:ser>
        <c:axId val="39547490"/>
        <c:axId val="20383091"/>
      </c:scatterChart>
      <c:valAx>
        <c:axId val="39547490"/>
        <c:scaling>
          <c:logBase val="10"/>
          <c:orientation val="minMax"/>
          <c:max val="100000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20383091"/>
        <c:crosses val="autoZero"/>
        <c:crossBetween val="midCat"/>
        <c:dispUnits/>
        <c:majorUnit val="10"/>
        <c:minorUnit val="10"/>
      </c:valAx>
      <c:valAx>
        <c:axId val="2038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09725"/>
          <c:w val="0.2347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325"/>
          <c:w val="0.92825"/>
          <c:h val="0.91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reset'!$I$148:$I$167</c:f>
              <c:numCache/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'Forward with RCD reset'!$G$148:$G$167</c:f>
              <c:numCache/>
            </c:numRef>
          </c:xVal>
          <c:yVal>
            <c:numRef>
              <c:f>'Forward with RCD reset'!$J$148:$J$167</c:f>
              <c:numCache/>
            </c:numRef>
          </c:yVal>
          <c:smooth val="1"/>
        </c:ser>
        <c:axId val="49230092"/>
        <c:axId val="40417645"/>
      </c:scatterChart>
      <c:valAx>
        <c:axId val="49230092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144</xdr:row>
      <xdr:rowOff>9525</xdr:rowOff>
    </xdr:from>
    <xdr:to>
      <xdr:col>8</xdr:col>
      <xdr:colOff>476250</xdr:colOff>
      <xdr:row>157</xdr:row>
      <xdr:rowOff>19050</xdr:rowOff>
    </xdr:to>
    <xdr:graphicFrame>
      <xdr:nvGraphicFramePr>
        <xdr:cNvPr id="1" name="Chart 59"/>
        <xdr:cNvGraphicFramePr/>
      </xdr:nvGraphicFramePr>
      <xdr:xfrm>
        <a:off x="314325" y="24974550"/>
        <a:ext cx="5562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157</xdr:row>
      <xdr:rowOff>19050</xdr:rowOff>
    </xdr:from>
    <xdr:to>
      <xdr:col>8</xdr:col>
      <xdr:colOff>485775</xdr:colOff>
      <xdr:row>170</xdr:row>
      <xdr:rowOff>76200</xdr:rowOff>
    </xdr:to>
    <xdr:graphicFrame>
      <xdr:nvGraphicFramePr>
        <xdr:cNvPr id="2" name="Chart 60"/>
        <xdr:cNvGraphicFramePr/>
      </xdr:nvGraphicFramePr>
      <xdr:xfrm>
        <a:off x="285750" y="27212925"/>
        <a:ext cx="5600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28575</xdr:rowOff>
    </xdr:from>
    <xdr:to>
      <xdr:col>9</xdr:col>
      <xdr:colOff>0</xdr:colOff>
      <xdr:row>159</xdr:row>
      <xdr:rowOff>38100</xdr:rowOff>
    </xdr:to>
    <xdr:graphicFrame>
      <xdr:nvGraphicFramePr>
        <xdr:cNvPr id="1" name="Chart 5"/>
        <xdr:cNvGraphicFramePr/>
      </xdr:nvGraphicFramePr>
      <xdr:xfrm>
        <a:off x="333375" y="25355550"/>
        <a:ext cx="5562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159</xdr:row>
      <xdr:rowOff>57150</xdr:rowOff>
    </xdr:from>
    <xdr:to>
      <xdr:col>9</xdr:col>
      <xdr:colOff>28575</xdr:colOff>
      <xdr:row>172</xdr:row>
      <xdr:rowOff>114300</xdr:rowOff>
    </xdr:to>
    <xdr:graphicFrame>
      <xdr:nvGraphicFramePr>
        <xdr:cNvPr id="2" name="Chart 6"/>
        <xdr:cNvGraphicFramePr/>
      </xdr:nvGraphicFramePr>
      <xdr:xfrm>
        <a:off x="323850" y="27612975"/>
        <a:ext cx="5600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PageLayoutView="0" workbookViewId="0" topLeftCell="A160">
      <selection activeCell="C125" sqref="C125"/>
    </sheetView>
  </sheetViews>
  <sheetFormatPr defaultColWidth="8.88671875" defaultRowHeight="13.5"/>
  <cols>
    <col min="1" max="1" width="3.5546875" style="0" customWidth="1"/>
    <col min="2" max="2" width="31.99609375" style="0" customWidth="1"/>
    <col min="3" max="3" width="8.21484375" style="0" customWidth="1"/>
    <col min="4" max="4" width="4.4453125" style="0" customWidth="1"/>
    <col min="5" max="5" width="3.77734375" style="0" customWidth="1"/>
    <col min="6" max="6" width="3.21484375" style="0" customWidth="1"/>
    <col min="7" max="7" width="5.4453125" style="0" customWidth="1"/>
    <col min="8" max="8" width="2.3359375" style="0" customWidth="1"/>
    <col min="9" max="9" width="7.99609375" style="0" customWidth="1"/>
    <col min="10" max="10" width="2.4453125" style="0" customWidth="1"/>
    <col min="11" max="11" width="5.10546875" style="0" customWidth="1"/>
    <col min="12" max="12" width="12.6640625" style="0" bestFit="1" customWidth="1"/>
  </cols>
  <sheetData>
    <row r="1" spans="2:9" ht="13.5">
      <c r="B1" s="4"/>
      <c r="C1" s="281" t="s">
        <v>106</v>
      </c>
      <c r="D1" s="282"/>
      <c r="E1" s="282"/>
      <c r="F1" s="282"/>
      <c r="G1" s="282"/>
      <c r="H1" s="283"/>
      <c r="I1" s="4"/>
    </row>
    <row r="2" spans="1:9" ht="13.5">
      <c r="A2" s="4"/>
      <c r="B2" s="4"/>
      <c r="C2" s="283"/>
      <c r="D2" s="283"/>
      <c r="E2" s="283"/>
      <c r="F2" s="283"/>
      <c r="G2" s="283"/>
      <c r="H2" s="283"/>
      <c r="I2" s="4" t="s">
        <v>107</v>
      </c>
    </row>
    <row r="3" spans="1:9" ht="14.25">
      <c r="A3" s="4"/>
      <c r="B3" s="4"/>
      <c r="C3" s="76" t="s">
        <v>144</v>
      </c>
      <c r="D3" s="76"/>
      <c r="E3" s="76"/>
      <c r="F3" s="76"/>
      <c r="G3" s="76"/>
      <c r="H3" s="76"/>
      <c r="I3" s="77"/>
    </row>
    <row r="4" ht="13.5">
      <c r="I4" s="4"/>
    </row>
    <row r="5" spans="3:8" ht="13.5">
      <c r="C5" s="5" t="s">
        <v>1</v>
      </c>
      <c r="D5" s="15" t="s">
        <v>0</v>
      </c>
      <c r="E5" s="15"/>
      <c r="F5" s="15"/>
      <c r="G5" s="15"/>
      <c r="H5" s="4"/>
    </row>
    <row r="6" spans="3:8" ht="13.5">
      <c r="C6" s="6" t="s">
        <v>2</v>
      </c>
      <c r="D6" s="15" t="s">
        <v>11</v>
      </c>
      <c r="E6" s="15"/>
      <c r="F6" s="15"/>
      <c r="G6" s="15"/>
      <c r="H6" s="4"/>
    </row>
    <row r="7" ht="13.5">
      <c r="I7" s="4"/>
    </row>
    <row r="8" spans="1:9" ht="13.5">
      <c r="A8" s="13" t="s">
        <v>30</v>
      </c>
      <c r="B8" s="19"/>
      <c r="C8" s="19"/>
      <c r="D8" s="19"/>
      <c r="E8" s="19"/>
      <c r="F8" s="19"/>
      <c r="G8" s="19"/>
      <c r="H8" s="19"/>
      <c r="I8" s="19"/>
    </row>
    <row r="9" spans="1:9" ht="13.5">
      <c r="A9" s="4"/>
      <c r="B9" s="8" t="s">
        <v>111</v>
      </c>
      <c r="C9" s="17">
        <v>180</v>
      </c>
      <c r="D9" s="9" t="s">
        <v>74</v>
      </c>
      <c r="G9" s="4"/>
      <c r="H9" s="4"/>
      <c r="I9" s="4"/>
    </row>
    <row r="10" spans="2:6" ht="13.5">
      <c r="B10" s="8" t="s">
        <v>112</v>
      </c>
      <c r="C10" s="17">
        <v>265</v>
      </c>
      <c r="D10" s="9" t="s">
        <v>74</v>
      </c>
      <c r="E10" s="11"/>
      <c r="F10" s="11"/>
    </row>
    <row r="11" spans="2:14" ht="13.5">
      <c r="B11" s="10" t="s">
        <v>113</v>
      </c>
      <c r="C11" s="17">
        <v>50</v>
      </c>
      <c r="D11" s="11" t="s">
        <v>4</v>
      </c>
      <c r="N11" s="45"/>
    </row>
    <row r="12" ht="13.5">
      <c r="N12" s="45"/>
    </row>
    <row r="13" spans="2:14" ht="13.5">
      <c r="B13" s="21"/>
      <c r="C13" s="22" t="s">
        <v>40</v>
      </c>
      <c r="D13" s="21"/>
      <c r="E13" s="22" t="s">
        <v>108</v>
      </c>
      <c r="F13" s="21"/>
      <c r="G13" s="22" t="s">
        <v>109</v>
      </c>
      <c r="H13" s="22"/>
      <c r="I13" s="22" t="s">
        <v>110</v>
      </c>
      <c r="N13" s="45"/>
    </row>
    <row r="14" spans="2:14" ht="13.5">
      <c r="B14" s="10" t="s">
        <v>31</v>
      </c>
      <c r="C14" s="17">
        <v>5</v>
      </c>
      <c r="D14" s="11" t="s">
        <v>3</v>
      </c>
      <c r="E14" s="17">
        <v>4</v>
      </c>
      <c r="F14" s="11" t="s">
        <v>22</v>
      </c>
      <c r="G14" s="99">
        <f>C14*E14</f>
        <v>20</v>
      </c>
      <c r="H14" s="269" t="s">
        <v>25</v>
      </c>
      <c r="I14" s="99">
        <f>G14/C$18*100</f>
        <v>100</v>
      </c>
      <c r="J14" s="3" t="s">
        <v>27</v>
      </c>
      <c r="N14" s="45"/>
    </row>
    <row r="15" spans="2:14" ht="13.5">
      <c r="B15" s="10" t="s">
        <v>18</v>
      </c>
      <c r="C15" s="17">
        <v>0</v>
      </c>
      <c r="D15" s="11" t="s">
        <v>3</v>
      </c>
      <c r="E15" s="17">
        <v>10</v>
      </c>
      <c r="F15" s="11" t="s">
        <v>21</v>
      </c>
      <c r="G15" s="99">
        <f>C15*E15</f>
        <v>0</v>
      </c>
      <c r="H15" s="269" t="s">
        <v>26</v>
      </c>
      <c r="I15" s="99">
        <f>G15/C$18*100</f>
        <v>0</v>
      </c>
      <c r="J15" s="3" t="s">
        <v>28</v>
      </c>
      <c r="N15" s="45"/>
    </row>
    <row r="16" spans="2:14" ht="13.5">
      <c r="B16" s="10" t="s">
        <v>19</v>
      </c>
      <c r="C16" s="17">
        <v>0</v>
      </c>
      <c r="D16" s="11" t="s">
        <v>3</v>
      </c>
      <c r="E16" s="17">
        <v>6</v>
      </c>
      <c r="F16" s="11" t="s">
        <v>23</v>
      </c>
      <c r="G16" s="99">
        <f>C16*E16</f>
        <v>0</v>
      </c>
      <c r="H16" s="269" t="s">
        <v>5</v>
      </c>
      <c r="I16" s="99">
        <f>G16/C$18*100</f>
        <v>0</v>
      </c>
      <c r="J16" s="3" t="s">
        <v>29</v>
      </c>
      <c r="N16" s="45"/>
    </row>
    <row r="17" spans="2:14" ht="13.5">
      <c r="B17" s="10" t="s">
        <v>20</v>
      </c>
      <c r="C17" s="17">
        <v>0</v>
      </c>
      <c r="D17" s="11" t="s">
        <v>3</v>
      </c>
      <c r="E17" s="17">
        <v>0</v>
      </c>
      <c r="F17" s="11" t="s">
        <v>23</v>
      </c>
      <c r="G17" s="99">
        <f>C17*E17</f>
        <v>0</v>
      </c>
      <c r="H17" s="269" t="s">
        <v>25</v>
      </c>
      <c r="I17" s="99">
        <f>G17/C$18*100</f>
        <v>0</v>
      </c>
      <c r="J17" s="3" t="s">
        <v>29</v>
      </c>
      <c r="N17" s="45"/>
    </row>
    <row r="18" spans="2:14" ht="13.5">
      <c r="B18" s="3" t="s">
        <v>96</v>
      </c>
      <c r="C18" s="100">
        <f>SUM(G14:G17)</f>
        <v>20</v>
      </c>
      <c r="D18" s="3" t="s">
        <v>24</v>
      </c>
      <c r="N18" s="45"/>
    </row>
    <row r="19" spans="2:14" ht="13.5">
      <c r="B19" s="10" t="s">
        <v>114</v>
      </c>
      <c r="C19" s="17">
        <v>70</v>
      </c>
      <c r="D19" s="11" t="s">
        <v>6</v>
      </c>
      <c r="N19" s="45"/>
    </row>
    <row r="20" spans="2:14" ht="13.5">
      <c r="B20" s="3" t="s">
        <v>97</v>
      </c>
      <c r="C20" s="100">
        <f>Po/Eff</f>
        <v>28.571428571428573</v>
      </c>
      <c r="D20" s="3" t="s">
        <v>24</v>
      </c>
      <c r="N20" s="45"/>
    </row>
    <row r="21" ht="13.5">
      <c r="N21" s="45"/>
    </row>
    <row r="22" spans="1:14" ht="13.5">
      <c r="A22" s="14" t="s">
        <v>142</v>
      </c>
      <c r="B22" s="14"/>
      <c r="C22" s="14"/>
      <c r="D22" s="14"/>
      <c r="E22" s="14"/>
      <c r="F22" s="14"/>
      <c r="G22" s="14"/>
      <c r="H22" s="14"/>
      <c r="I22" s="14"/>
      <c r="N22" s="45"/>
    </row>
    <row r="23" spans="2:14" ht="13.5">
      <c r="B23" s="10" t="s">
        <v>15</v>
      </c>
      <c r="C23" s="17">
        <v>100</v>
      </c>
      <c r="D23" s="11" t="s">
        <v>12</v>
      </c>
      <c r="N23" s="45"/>
    </row>
    <row r="24" spans="2:14" ht="13.5">
      <c r="B24" s="3" t="s">
        <v>7</v>
      </c>
      <c r="C24" s="99">
        <f>Pin*0.8/(SQRT(2)*V_line_min*2*fL*Cdc)</f>
        <v>8.979133729352984</v>
      </c>
      <c r="D24" s="3" t="s">
        <v>3</v>
      </c>
      <c r="N24" s="45"/>
    </row>
    <row r="25" spans="2:14" ht="13.5">
      <c r="B25" s="3" t="s">
        <v>8</v>
      </c>
      <c r="C25" s="99">
        <f>SQRT(2)*V_line_min-C24</f>
        <v>245.57930749780414</v>
      </c>
      <c r="D25" s="3" t="s">
        <v>3</v>
      </c>
      <c r="N25" s="45"/>
    </row>
    <row r="26" spans="2:14" ht="13.5">
      <c r="B26" s="3" t="s">
        <v>143</v>
      </c>
      <c r="C26" s="99">
        <f>SQRT(2)*V_line_max</f>
        <v>374.7665940288702</v>
      </c>
      <c r="D26" s="3" t="s">
        <v>3</v>
      </c>
      <c r="N26" s="45"/>
    </row>
    <row r="27" ht="13.5">
      <c r="N27" s="45"/>
    </row>
    <row r="28" spans="1:14" ht="13.5">
      <c r="A28" s="14" t="s">
        <v>145</v>
      </c>
      <c r="B28" s="14"/>
      <c r="C28" s="14"/>
      <c r="D28" s="14"/>
      <c r="E28" s="14"/>
      <c r="F28" s="14"/>
      <c r="G28" s="14"/>
      <c r="H28" s="14"/>
      <c r="I28" s="14"/>
      <c r="N28" s="45"/>
    </row>
    <row r="29" spans="2:14" ht="13.5">
      <c r="B29" s="10" t="s">
        <v>13</v>
      </c>
      <c r="C29" s="17">
        <v>0.4</v>
      </c>
      <c r="D29" s="11"/>
      <c r="F29" s="2"/>
      <c r="N29" s="45"/>
    </row>
    <row r="30" spans="2:14" ht="13.5">
      <c r="B30" s="10" t="s">
        <v>146</v>
      </c>
      <c r="C30" s="17">
        <v>0.6</v>
      </c>
      <c r="D30" s="78" t="s">
        <v>147</v>
      </c>
      <c r="E30" s="284">
        <f>Dmax/(1-Dmax)</f>
        <v>0.6666666666666667</v>
      </c>
      <c r="F30" s="285"/>
      <c r="N30" s="45"/>
    </row>
    <row r="31" spans="2:14" ht="13.5">
      <c r="B31" s="3" t="s">
        <v>141</v>
      </c>
      <c r="C31" s="99">
        <f>Vdc_max*(1+C30)</f>
        <v>599.6265504461924</v>
      </c>
      <c r="D31" s="3" t="s">
        <v>9</v>
      </c>
      <c r="N31" s="45"/>
    </row>
    <row r="32" spans="2:14" ht="13.5">
      <c r="B32" s="79"/>
      <c r="C32" s="80"/>
      <c r="D32" s="79"/>
      <c r="N32" s="45"/>
    </row>
    <row r="33" spans="1:14" ht="13.5">
      <c r="A33" s="14" t="s">
        <v>148</v>
      </c>
      <c r="B33" s="14"/>
      <c r="C33" s="14"/>
      <c r="D33" s="14"/>
      <c r="E33" s="14"/>
      <c r="F33" s="14"/>
      <c r="G33" s="14"/>
      <c r="H33" s="14"/>
      <c r="I33" s="14"/>
      <c r="N33" s="45"/>
    </row>
    <row r="34" spans="2:14" ht="13.5">
      <c r="B34" s="10" t="s">
        <v>177</v>
      </c>
      <c r="C34" s="17">
        <v>0.15</v>
      </c>
      <c r="N34" s="45"/>
    </row>
    <row r="35" spans="2:14" ht="13.5">
      <c r="B35" s="3" t="s">
        <v>14</v>
      </c>
      <c r="C35" s="101">
        <f>Pin/(Vdc_min*Dmax)*(1+KRF)</f>
        <v>0.33448606879710996</v>
      </c>
      <c r="D35" s="3" t="s">
        <v>22</v>
      </c>
      <c r="N35" s="45"/>
    </row>
    <row r="36" spans="2:14" ht="13.5">
      <c r="B36" s="3" t="s">
        <v>149</v>
      </c>
      <c r="C36" s="101">
        <f>Pin/(Vdc_min*Dmax)*SQRT((3+KRF^2)*Dmax/3)</f>
        <v>0.1846429444124049</v>
      </c>
      <c r="D36" s="3" t="s">
        <v>22</v>
      </c>
      <c r="N36" s="45"/>
    </row>
    <row r="37" spans="2:14" ht="13.5">
      <c r="B37" s="10" t="s">
        <v>179</v>
      </c>
      <c r="C37" s="17">
        <v>4</v>
      </c>
      <c r="D37" s="11" t="s">
        <v>22</v>
      </c>
      <c r="N37" s="45"/>
    </row>
    <row r="38" ht="13.5">
      <c r="N38" s="45"/>
    </row>
    <row r="39" ht="13.5">
      <c r="N39" s="45"/>
    </row>
    <row r="40" ht="13.5">
      <c r="N40" s="45"/>
    </row>
    <row r="41" ht="13.5">
      <c r="N41" s="45"/>
    </row>
    <row r="42" ht="13.5">
      <c r="N42" s="45"/>
    </row>
    <row r="43" ht="13.5">
      <c r="N43" s="45"/>
    </row>
    <row r="44" ht="13.5">
      <c r="N44" s="45"/>
    </row>
    <row r="45" ht="13.5">
      <c r="N45" s="45"/>
    </row>
    <row r="46" ht="13.5">
      <c r="N46" s="45"/>
    </row>
    <row r="47" ht="13.5">
      <c r="N47" s="45"/>
    </row>
    <row r="48" spans="1:14" ht="13.5">
      <c r="A48" s="14" t="s">
        <v>150</v>
      </c>
      <c r="B48" s="14"/>
      <c r="C48" s="14"/>
      <c r="D48" s="14"/>
      <c r="E48" s="14"/>
      <c r="F48" s="14"/>
      <c r="G48" s="14"/>
      <c r="H48" s="14"/>
      <c r="I48" s="14"/>
      <c r="N48" s="45"/>
    </row>
    <row r="49" spans="2:14" ht="13.5">
      <c r="B49" s="10" t="s">
        <v>32</v>
      </c>
      <c r="C49" s="17">
        <v>100</v>
      </c>
      <c r="D49" s="11" t="s">
        <v>33</v>
      </c>
      <c r="E49" s="11"/>
      <c r="F49" s="11"/>
      <c r="G49" s="11"/>
      <c r="N49" s="45"/>
    </row>
    <row r="50" spans="2:14" ht="13.5">
      <c r="B50" s="10" t="s">
        <v>138</v>
      </c>
      <c r="C50" s="46">
        <v>0.32</v>
      </c>
      <c r="D50" s="11" t="s">
        <v>36</v>
      </c>
      <c r="F50" s="73"/>
      <c r="G50" s="72"/>
      <c r="H50" s="72"/>
      <c r="I50" s="72"/>
      <c r="K50" s="11"/>
      <c r="N50" s="45"/>
    </row>
    <row r="51" spans="2:14" ht="15.75">
      <c r="B51" s="7" t="s">
        <v>16</v>
      </c>
      <c r="C51" s="99">
        <f>(11.1*Pin/0.141/Bmax/fs)^1.31*10000</f>
        <v>308.6174332435972</v>
      </c>
      <c r="D51" s="3" t="s">
        <v>17</v>
      </c>
      <c r="G51" s="72"/>
      <c r="H51" s="72"/>
      <c r="I51" s="72"/>
      <c r="N51" s="45"/>
    </row>
    <row r="52" spans="2:14" ht="15.75">
      <c r="B52" s="10" t="s">
        <v>98</v>
      </c>
      <c r="C52" s="17">
        <v>86</v>
      </c>
      <c r="D52" s="11" t="s">
        <v>34</v>
      </c>
      <c r="G52" s="72"/>
      <c r="H52" s="72"/>
      <c r="I52" s="72"/>
      <c r="N52" s="45"/>
    </row>
    <row r="53" spans="2:14" ht="13.5">
      <c r="B53" s="7" t="s">
        <v>35</v>
      </c>
      <c r="C53" s="100">
        <f>Vdc_min*Dmax/Ae/fs/Bmax*1000000</f>
        <v>35.69466678747153</v>
      </c>
      <c r="D53" s="3" t="s">
        <v>36</v>
      </c>
      <c r="E53" s="18"/>
      <c r="G53" s="72"/>
      <c r="H53" s="72"/>
      <c r="I53" s="72"/>
      <c r="N53" s="45"/>
    </row>
    <row r="54" spans="2:14" ht="13.5">
      <c r="B54" s="3"/>
      <c r="C54" s="80"/>
      <c r="D54" s="3"/>
      <c r="N54" s="45"/>
    </row>
    <row r="55" spans="1:14" ht="13.5">
      <c r="A55" s="14" t="s">
        <v>39</v>
      </c>
      <c r="B55" s="14"/>
      <c r="C55" s="14"/>
      <c r="D55" s="14"/>
      <c r="E55" s="14"/>
      <c r="F55" s="14"/>
      <c r="G55" s="14"/>
      <c r="H55" s="14"/>
      <c r="I55" s="14"/>
      <c r="N55" s="45"/>
    </row>
    <row r="56" ht="13.5">
      <c r="N56" s="45"/>
    </row>
    <row r="57" spans="2:14" ht="13.5">
      <c r="B57" s="21"/>
      <c r="C57" s="22" t="s">
        <v>40</v>
      </c>
      <c r="D57" s="21"/>
      <c r="E57" s="22" t="s">
        <v>41</v>
      </c>
      <c r="F57" s="21"/>
      <c r="G57" s="21"/>
      <c r="H57" s="22" t="s">
        <v>44</v>
      </c>
      <c r="I57" s="22"/>
      <c r="J57" s="22"/>
      <c r="N57" s="45"/>
    </row>
    <row r="58" spans="2:14" ht="13.5">
      <c r="B58" s="7" t="s">
        <v>77</v>
      </c>
      <c r="C58" s="17">
        <v>15</v>
      </c>
      <c r="D58" s="11" t="s">
        <v>37</v>
      </c>
      <c r="E58" s="17">
        <v>1.2</v>
      </c>
      <c r="F58" s="11" t="s">
        <v>37</v>
      </c>
      <c r="G58" s="102">
        <f>Nr*(Vcc+VFC)/Vdc_min</f>
        <v>6.000000000000001</v>
      </c>
      <c r="H58" s="23" t="s">
        <v>42</v>
      </c>
      <c r="I58" s="271">
        <f>ROUND(G58,0)</f>
        <v>6</v>
      </c>
      <c r="J58" s="3" t="s">
        <v>43</v>
      </c>
      <c r="N58" s="45"/>
    </row>
    <row r="59" spans="2:14" ht="13.5">
      <c r="B59" s="7" t="s">
        <v>78</v>
      </c>
      <c r="C59" s="270">
        <f>Vo1</f>
        <v>5</v>
      </c>
      <c r="D59" s="11" t="s">
        <v>37</v>
      </c>
      <c r="E59" s="17">
        <v>0.4</v>
      </c>
      <c r="F59" s="11" t="s">
        <v>37</v>
      </c>
      <c r="G59" s="103">
        <v>3</v>
      </c>
      <c r="H59" s="23" t="s">
        <v>42</v>
      </c>
      <c r="I59" s="271">
        <f>ROUND(G59,0)</f>
        <v>3</v>
      </c>
      <c r="J59" s="3" t="s">
        <v>43</v>
      </c>
      <c r="N59" s="45"/>
    </row>
    <row r="60" spans="2:14" ht="13.5">
      <c r="B60" s="7" t="s">
        <v>79</v>
      </c>
      <c r="C60" s="270">
        <f>Vo2</f>
        <v>0</v>
      </c>
      <c r="D60" s="11" t="s">
        <v>37</v>
      </c>
      <c r="E60" s="17">
        <v>0.4</v>
      </c>
      <c r="F60" s="11" t="s">
        <v>37</v>
      </c>
      <c r="G60" s="102">
        <f>Ns1*(Vo2+VF2)/(Vo1+VF1)</f>
        <v>0.22222222222222224</v>
      </c>
      <c r="H60" s="23" t="s">
        <v>42</v>
      </c>
      <c r="I60" s="271">
        <f>ROUND(G60,0)</f>
        <v>0</v>
      </c>
      <c r="J60" s="3" t="s">
        <v>43</v>
      </c>
      <c r="N60" s="45"/>
    </row>
    <row r="61" spans="2:14" ht="13.5">
      <c r="B61" s="7" t="s">
        <v>80</v>
      </c>
      <c r="C61" s="270">
        <f>Vo3</f>
        <v>0</v>
      </c>
      <c r="D61" s="11" t="s">
        <v>37</v>
      </c>
      <c r="E61" s="17">
        <v>1</v>
      </c>
      <c r="F61" s="11" t="s">
        <v>37</v>
      </c>
      <c r="G61" s="102">
        <f>Ns1*(Vo3+VF3)/(Vo1+VF1)</f>
        <v>0.5555555555555555</v>
      </c>
      <c r="H61" s="23" t="s">
        <v>42</v>
      </c>
      <c r="I61" s="271">
        <f>ROUND(G61,0)</f>
        <v>1</v>
      </c>
      <c r="J61" s="3" t="s">
        <v>43</v>
      </c>
      <c r="N61" s="45"/>
    </row>
    <row r="62" spans="2:14" ht="13.5">
      <c r="B62" s="7" t="s">
        <v>20</v>
      </c>
      <c r="C62" s="270">
        <f>Vo4</f>
        <v>0</v>
      </c>
      <c r="D62" s="11" t="s">
        <v>37</v>
      </c>
      <c r="E62" s="17">
        <v>0</v>
      </c>
      <c r="F62" s="11" t="s">
        <v>37</v>
      </c>
      <c r="G62" s="102">
        <f>Ns1*(Vo4+VF4)/(Vo1+VF1)</f>
        <v>0</v>
      </c>
      <c r="H62" s="23" t="s">
        <v>42</v>
      </c>
      <c r="I62" s="271">
        <f>ROUND(G62,0)</f>
        <v>0</v>
      </c>
      <c r="J62" s="3" t="s">
        <v>43</v>
      </c>
      <c r="N62" s="45"/>
    </row>
    <row r="63" spans="2:14" ht="13.5">
      <c r="B63" s="12" t="s">
        <v>38</v>
      </c>
      <c r="E63" s="82" t="s">
        <v>154</v>
      </c>
      <c r="F63" s="82"/>
      <c r="G63" s="82"/>
      <c r="H63" s="82"/>
      <c r="I63" s="99">
        <f>Np/NpNr</f>
        <v>90.9552990732608</v>
      </c>
      <c r="J63" s="3" t="s">
        <v>43</v>
      </c>
      <c r="N63" s="45"/>
    </row>
    <row r="64" spans="5:10" ht="13.5">
      <c r="E64" s="82" t="s">
        <v>153</v>
      </c>
      <c r="F64" s="82"/>
      <c r="G64" s="82"/>
      <c r="H64" s="82"/>
      <c r="I64" s="99">
        <f>Vdc_min*Dmax*Ns1/(Vo1+VF1)</f>
        <v>54.57317944395648</v>
      </c>
      <c r="J64" s="3" t="s">
        <v>43</v>
      </c>
    </row>
    <row r="65" spans="4:10" ht="13.5">
      <c r="D65" s="7"/>
      <c r="E65" s="26" t="str">
        <f>IF(I64&lt;C53,"-&gt;More turns required !!!","-&gt;enough turns")</f>
        <v>-&gt;enough turns</v>
      </c>
      <c r="F65" s="26"/>
      <c r="G65" s="26"/>
      <c r="H65" s="26"/>
      <c r="I65" s="26"/>
      <c r="J65" s="26"/>
    </row>
    <row r="66" spans="2:4" ht="15.75">
      <c r="B66" s="10" t="s">
        <v>105</v>
      </c>
      <c r="C66" s="17">
        <v>2490</v>
      </c>
      <c r="D66" t="s">
        <v>76</v>
      </c>
    </row>
    <row r="67" spans="2:7" ht="13.5">
      <c r="B67" s="7" t="s">
        <v>151</v>
      </c>
      <c r="C67" s="272">
        <f>AL*Np^2/1000000</f>
        <v>7.415797467409461</v>
      </c>
      <c r="D67" s="3" t="s">
        <v>152</v>
      </c>
      <c r="F67" s="2"/>
      <c r="G67" s="72"/>
    </row>
    <row r="69" spans="1:9" ht="13.5">
      <c r="A69" s="14" t="s">
        <v>155</v>
      </c>
      <c r="B69" s="14"/>
      <c r="C69" s="14"/>
      <c r="D69" s="14"/>
      <c r="E69" s="14"/>
      <c r="F69" s="14"/>
      <c r="G69" s="14"/>
      <c r="H69" s="14"/>
      <c r="I69" s="14"/>
    </row>
    <row r="70" spans="2:5" ht="13.5">
      <c r="B70" s="10"/>
      <c r="C70" s="39"/>
      <c r="D70" s="30"/>
      <c r="E70" s="30"/>
    </row>
    <row r="71" spans="2:10" ht="15.75">
      <c r="B71" s="21"/>
      <c r="C71" s="22" t="s">
        <v>45</v>
      </c>
      <c r="D71" s="22"/>
      <c r="E71" s="28" t="s">
        <v>49</v>
      </c>
      <c r="F71" s="28"/>
      <c r="G71" s="22" t="s">
        <v>61</v>
      </c>
      <c r="H71" s="22"/>
      <c r="I71" s="40" t="s">
        <v>50</v>
      </c>
      <c r="J71" s="27"/>
    </row>
    <row r="72" spans="2:10" ht="13.5">
      <c r="B72" s="7" t="s">
        <v>156</v>
      </c>
      <c r="C72" s="25">
        <v>0.68</v>
      </c>
      <c r="D72" s="11" t="s">
        <v>47</v>
      </c>
      <c r="E72" s="25">
        <v>1</v>
      </c>
      <c r="F72" t="s">
        <v>36</v>
      </c>
      <c r="G72" s="98">
        <f>Ids_rms</f>
        <v>0.1846429444124049</v>
      </c>
      <c r="H72" s="269" t="s">
        <v>22</v>
      </c>
      <c r="I72" s="1">
        <f aca="true" t="shared" si="0" ref="I72:I78">G72/E72/(3.14/4*C72^2)</f>
        <v>0.5086806702565536</v>
      </c>
      <c r="J72" s="1"/>
    </row>
    <row r="73" spans="2:13" ht="13.5">
      <c r="B73" s="7" t="s">
        <v>157</v>
      </c>
      <c r="C73" s="25">
        <v>0.31</v>
      </c>
      <c r="D73" s="11" t="s">
        <v>47</v>
      </c>
      <c r="E73" s="25">
        <v>1</v>
      </c>
      <c r="F73" t="s">
        <v>36</v>
      </c>
      <c r="G73" s="98">
        <f>Vdc_min/Lm*Dmax/fs*SQRT(Dmax/3)</f>
        <v>0.04836857243892437</v>
      </c>
      <c r="H73" s="269" t="s">
        <v>22</v>
      </c>
      <c r="I73" s="1">
        <f t="shared" si="0"/>
        <v>0.641165617541764</v>
      </c>
      <c r="J73" s="1"/>
      <c r="M73" s="45"/>
    </row>
    <row r="74" spans="2:13" ht="13.5">
      <c r="B74" s="7" t="s">
        <v>81</v>
      </c>
      <c r="C74" s="25">
        <v>0.31</v>
      </c>
      <c r="D74" s="11" t="s">
        <v>47</v>
      </c>
      <c r="E74" s="25">
        <v>1</v>
      </c>
      <c r="F74" t="s">
        <v>46</v>
      </c>
      <c r="G74" s="98">
        <v>0.1</v>
      </c>
      <c r="H74" s="269" t="s">
        <v>22</v>
      </c>
      <c r="I74" s="1">
        <f t="shared" si="0"/>
        <v>1.325583090862093</v>
      </c>
      <c r="J74" s="1"/>
      <c r="M74" s="45"/>
    </row>
    <row r="75" spans="2:13" ht="13.5">
      <c r="B75" s="7" t="s">
        <v>82</v>
      </c>
      <c r="C75" s="25">
        <v>0.68</v>
      </c>
      <c r="D75" s="11" t="s">
        <v>47</v>
      </c>
      <c r="E75" s="25">
        <v>4</v>
      </c>
      <c r="F75" t="s">
        <v>46</v>
      </c>
      <c r="G75" s="98">
        <f>Io_1*SQRT((3+KRF^2)*Dmax/3)</f>
        <v>2.5392912396966207</v>
      </c>
      <c r="H75" s="269" t="s">
        <v>22</v>
      </c>
      <c r="I75" s="1">
        <f t="shared" si="0"/>
        <v>1.7489002543477261</v>
      </c>
      <c r="J75" s="1"/>
      <c r="M75" s="45"/>
    </row>
    <row r="76" spans="2:13" ht="13.5">
      <c r="B76" s="7" t="s">
        <v>83</v>
      </c>
      <c r="C76" s="25">
        <v>0.68</v>
      </c>
      <c r="D76" s="11" t="s">
        <v>47</v>
      </c>
      <c r="E76" s="25">
        <v>3</v>
      </c>
      <c r="F76" t="s">
        <v>46</v>
      </c>
      <c r="G76" s="98">
        <f>Io_2*SQRT((3+KRF^2)*Dmax/3)</f>
        <v>6.348228099241552</v>
      </c>
      <c r="H76" s="269" t="s">
        <v>22</v>
      </c>
      <c r="I76" s="1">
        <f t="shared" si="0"/>
        <v>5.82966751449242</v>
      </c>
      <c r="J76" s="1"/>
      <c r="M76" s="45"/>
    </row>
    <row r="77" spans="2:13" ht="13.5">
      <c r="B77" s="7" t="s">
        <v>84</v>
      </c>
      <c r="C77" s="25">
        <v>0.68</v>
      </c>
      <c r="D77" s="11" t="s">
        <v>47</v>
      </c>
      <c r="E77" s="25">
        <v>2</v>
      </c>
      <c r="F77" t="s">
        <v>46</v>
      </c>
      <c r="G77" s="98">
        <f>Io_3*SQRT((3+KRF^2)*Dmax/3)</f>
        <v>3.8089368595449313</v>
      </c>
      <c r="H77" s="269" t="s">
        <v>22</v>
      </c>
      <c r="I77" s="1">
        <f t="shared" si="0"/>
        <v>5.246700763043179</v>
      </c>
      <c r="J77" s="1"/>
      <c r="M77" s="45"/>
    </row>
    <row r="78" spans="2:13" ht="13.5">
      <c r="B78" s="7" t="s">
        <v>85</v>
      </c>
      <c r="C78" s="25">
        <v>0</v>
      </c>
      <c r="D78" s="11" t="s">
        <v>47</v>
      </c>
      <c r="E78" s="25">
        <v>0</v>
      </c>
      <c r="F78" t="s">
        <v>48</v>
      </c>
      <c r="G78" s="98">
        <f>Io_4*SQRT((3+KRF^2)*Dmax/3)</f>
        <v>0</v>
      </c>
      <c r="H78" s="269" t="s">
        <v>22</v>
      </c>
      <c r="I78" s="1" t="e">
        <f t="shared" si="0"/>
        <v>#DIV/0!</v>
      </c>
      <c r="J78" s="1"/>
      <c r="M78" s="45"/>
    </row>
    <row r="79" spans="1:10" ht="15.75">
      <c r="A79" s="31"/>
      <c r="B79" s="32" t="s">
        <v>51</v>
      </c>
      <c r="C79" s="100">
        <f>C72^2/4*3.14*E72*Np+C73^2/4*3.14*E73*Nr+C74^2/4*3.14*E74*Nc+C75^2/4*3.14*E75*Ns1+C76^2/4*3.14*E76*Ns2+C77^2/4*3.14*E77*Ns3+C78^2/4*3.14*E78*Ns4</f>
        <v>32.20512929642329</v>
      </c>
      <c r="D79" s="3" t="s">
        <v>52</v>
      </c>
      <c r="E79" s="34"/>
      <c r="F79" s="31"/>
      <c r="G79" s="35"/>
      <c r="H79" s="33"/>
      <c r="I79" s="31"/>
      <c r="J79" s="33"/>
    </row>
    <row r="80" spans="1:10" ht="13.5">
      <c r="A80" s="38"/>
      <c r="B80" s="10" t="s">
        <v>53</v>
      </c>
      <c r="C80" s="17">
        <v>0.25</v>
      </c>
      <c r="D80" s="11"/>
      <c r="E80" s="36"/>
      <c r="F80" s="37"/>
      <c r="G80" s="37"/>
      <c r="H80" s="37"/>
      <c r="I80" s="37"/>
      <c r="J80" s="31"/>
    </row>
    <row r="81" spans="2:12" ht="15.75">
      <c r="B81" s="32" t="s">
        <v>54</v>
      </c>
      <c r="C81" s="100">
        <f>C79/C80</f>
        <v>128.82051718569315</v>
      </c>
      <c r="D81" s="3" t="s">
        <v>52</v>
      </c>
      <c r="E81" s="2"/>
      <c r="F81" s="72"/>
      <c r="G81" s="44"/>
      <c r="H81" s="94"/>
      <c r="I81" s="94"/>
      <c r="J81" s="31"/>
      <c r="L81" s="72"/>
    </row>
    <row r="82" spans="11:13" ht="13.5">
      <c r="K82" s="72"/>
      <c r="L82" s="72"/>
      <c r="M82" s="45"/>
    </row>
    <row r="83" spans="1:12" ht="13.5">
      <c r="A83" s="14" t="s">
        <v>158</v>
      </c>
      <c r="B83" s="14"/>
      <c r="C83" s="14"/>
      <c r="D83" s="14"/>
      <c r="E83" s="14"/>
      <c r="F83" s="14"/>
      <c r="G83" s="14"/>
      <c r="H83" s="14"/>
      <c r="I83" s="14"/>
      <c r="K83" s="72"/>
      <c r="L83" s="72"/>
    </row>
    <row r="84" spans="2:11" ht="15.75">
      <c r="B84" s="10" t="s">
        <v>159</v>
      </c>
      <c r="C84" s="17">
        <v>86</v>
      </c>
      <c r="D84" s="11" t="s">
        <v>34</v>
      </c>
      <c r="E84" s="2"/>
      <c r="F84" s="72"/>
      <c r="K84" s="72"/>
    </row>
    <row r="85" spans="2:4" ht="13.5">
      <c r="B85" s="10" t="s">
        <v>160</v>
      </c>
      <c r="C85" s="17">
        <v>0.42</v>
      </c>
      <c r="D85" s="11" t="s">
        <v>36</v>
      </c>
    </row>
    <row r="86" spans="2:4" ht="13.5">
      <c r="B86" s="7" t="s">
        <v>170</v>
      </c>
      <c r="C86" s="100">
        <f>Vo1*(Vo1+VF1)*(1-Dmax*Vdc_min/Vdc_max)/(2*KRF*Po*fs)*1000000</f>
        <v>33.20485175202156</v>
      </c>
      <c r="D86" s="3" t="s">
        <v>10</v>
      </c>
    </row>
    <row r="87" spans="2:4" ht="13.5">
      <c r="B87" s="7" t="s">
        <v>171</v>
      </c>
      <c r="C87" s="100">
        <f>L_1*Po*(1+KRF)/Vo1/Bsat/Ael*1000000</f>
        <v>4.228746347156677</v>
      </c>
      <c r="D87" s="3" t="s">
        <v>36</v>
      </c>
    </row>
    <row r="88" spans="2:6" ht="13.5">
      <c r="B88" s="10" t="s">
        <v>161</v>
      </c>
      <c r="C88" s="20">
        <v>6</v>
      </c>
      <c r="D88" s="23" t="s">
        <v>42</v>
      </c>
      <c r="E88" s="271">
        <f>ROUND(C88,0)</f>
        <v>6</v>
      </c>
      <c r="F88" s="3" t="s">
        <v>43</v>
      </c>
    </row>
    <row r="89" spans="2:6" ht="13.5">
      <c r="B89" s="7" t="s">
        <v>162</v>
      </c>
      <c r="C89" s="24">
        <f>Nl1*Ns2/Ns1</f>
        <v>0</v>
      </c>
      <c r="D89" s="23" t="s">
        <v>42</v>
      </c>
      <c r="E89" s="271">
        <f>ROUND(C89,0)</f>
        <v>0</v>
      </c>
      <c r="F89" s="3" t="s">
        <v>43</v>
      </c>
    </row>
    <row r="90" spans="2:6" ht="13.5">
      <c r="B90" s="7" t="s">
        <v>163</v>
      </c>
      <c r="C90" s="24">
        <f>Nl1*Ns3/Ns1</f>
        <v>2</v>
      </c>
      <c r="D90" s="23" t="s">
        <v>42</v>
      </c>
      <c r="E90" s="271">
        <f>ROUND(C90,0)</f>
        <v>2</v>
      </c>
      <c r="F90" s="3" t="s">
        <v>43</v>
      </c>
    </row>
    <row r="91" spans="2:13" ht="13.5">
      <c r="B91" s="7" t="s">
        <v>164</v>
      </c>
      <c r="C91" s="24">
        <f>Nl1*Ns4/Ns1</f>
        <v>0</v>
      </c>
      <c r="D91" s="23" t="s">
        <v>42</v>
      </c>
      <c r="E91" s="271">
        <f>ROUND(C91,0)</f>
        <v>0</v>
      </c>
      <c r="F91" s="3" t="s">
        <v>43</v>
      </c>
      <c r="M91" s="45"/>
    </row>
    <row r="92" spans="2:13" ht="13.5">
      <c r="B92" s="7"/>
      <c r="D92" s="3"/>
      <c r="M92" s="45"/>
    </row>
    <row r="93" spans="1:13" ht="13.5">
      <c r="A93" s="14" t="s">
        <v>165</v>
      </c>
      <c r="B93" s="14"/>
      <c r="C93" s="14"/>
      <c r="D93" s="14"/>
      <c r="E93" s="14"/>
      <c r="F93" s="14"/>
      <c r="G93" s="14"/>
      <c r="H93" s="14"/>
      <c r="I93" s="14"/>
      <c r="M93" s="45"/>
    </row>
    <row r="94" spans="2:13" ht="13.5">
      <c r="B94" s="10"/>
      <c r="C94" s="39"/>
      <c r="D94" s="30"/>
      <c r="E94" s="30"/>
      <c r="M94" s="45"/>
    </row>
    <row r="95" spans="2:13" ht="15.75">
      <c r="B95" s="21"/>
      <c r="C95" s="22" t="s">
        <v>45</v>
      </c>
      <c r="D95" s="22"/>
      <c r="E95" s="28" t="s">
        <v>49</v>
      </c>
      <c r="F95" s="28"/>
      <c r="G95" s="22" t="s">
        <v>61</v>
      </c>
      <c r="H95" s="22"/>
      <c r="I95" s="40" t="s">
        <v>50</v>
      </c>
      <c r="J95" s="27"/>
      <c r="M95" s="45"/>
    </row>
    <row r="96" spans="2:13" ht="13.5">
      <c r="B96" s="7" t="s">
        <v>166</v>
      </c>
      <c r="C96" s="25">
        <v>0.68</v>
      </c>
      <c r="D96" s="11" t="s">
        <v>47</v>
      </c>
      <c r="E96" s="25">
        <v>5</v>
      </c>
      <c r="F96" t="s">
        <v>46</v>
      </c>
      <c r="G96" s="98">
        <f>Io_1*SQRT((3+KRF^2)/3)</f>
        <v>4.014971979976947</v>
      </c>
      <c r="H96" s="269" t="s">
        <v>22</v>
      </c>
      <c r="I96" s="1">
        <f>G96/E96/(3.14/4*C96^2)</f>
        <v>2.2122032816746446</v>
      </c>
      <c r="J96" s="1"/>
      <c r="M96" s="45"/>
    </row>
    <row r="97" spans="2:13" ht="13.5">
      <c r="B97" s="7" t="s">
        <v>168</v>
      </c>
      <c r="C97" s="25">
        <v>0.68</v>
      </c>
      <c r="D97" s="11" t="s">
        <v>47</v>
      </c>
      <c r="E97" s="25">
        <v>3</v>
      </c>
      <c r="F97" t="s">
        <v>46</v>
      </c>
      <c r="G97" s="98">
        <f>Io_2*SQRT((3+KRF^2)/3)</f>
        <v>10.037429949942368</v>
      </c>
      <c r="H97" s="269" t="s">
        <v>22</v>
      </c>
      <c r="I97" s="1">
        <f>G97/E97/(3.14/4*C97^2)</f>
        <v>9.217513673644353</v>
      </c>
      <c r="J97" s="1"/>
      <c r="M97" s="45"/>
    </row>
    <row r="98" spans="2:13" ht="13.5">
      <c r="B98" s="7" t="s">
        <v>169</v>
      </c>
      <c r="C98" s="25">
        <v>0.68</v>
      </c>
      <c r="D98" s="11" t="s">
        <v>47</v>
      </c>
      <c r="E98" s="25">
        <v>2</v>
      </c>
      <c r="F98" t="s">
        <v>46</v>
      </c>
      <c r="G98" s="98">
        <f>Io_3*SQRT((3+KRF^2)/3)</f>
        <v>6.02245796996542</v>
      </c>
      <c r="H98" s="269" t="s">
        <v>22</v>
      </c>
      <c r="I98" s="1">
        <f>G98/E98/(3.14/4*C98^2)</f>
        <v>8.295762306279917</v>
      </c>
      <c r="J98" s="1"/>
      <c r="M98" s="45"/>
    </row>
    <row r="99" spans="2:13" ht="13.5">
      <c r="B99" s="7" t="s">
        <v>167</v>
      </c>
      <c r="C99" s="25">
        <v>0.3</v>
      </c>
      <c r="D99" s="11" t="s">
        <v>47</v>
      </c>
      <c r="E99" s="25">
        <v>0</v>
      </c>
      <c r="F99" t="s">
        <v>48</v>
      </c>
      <c r="G99" s="98">
        <f>Io_4*SQRT((3+KRF^2)/3)</f>
        <v>0</v>
      </c>
      <c r="H99" s="269" t="s">
        <v>22</v>
      </c>
      <c r="I99" s="1" t="e">
        <f>G99/E99/(3.14/4*C99^2)</f>
        <v>#DIV/0!</v>
      </c>
      <c r="J99" s="1"/>
      <c r="L99" s="45"/>
      <c r="M99" s="45"/>
    </row>
    <row r="100" spans="2:13" ht="15.75">
      <c r="B100" s="32" t="s">
        <v>51</v>
      </c>
      <c r="C100" s="272">
        <f>C96^2/4*3.14*E96*Nl1+C97^2/4*3.14*E97*Nl2+C98^2/4*3.14*E98*Nl3+C99^2/4*3.14*E99*Nl4</f>
        <v>12.341456</v>
      </c>
      <c r="D100" s="3" t="s">
        <v>52</v>
      </c>
      <c r="L100" s="45"/>
      <c r="M100" s="45"/>
    </row>
    <row r="101" spans="2:13" ht="13.5">
      <c r="B101" s="10" t="s">
        <v>53</v>
      </c>
      <c r="C101" s="17">
        <v>0.25</v>
      </c>
      <c r="D101" s="11"/>
      <c r="L101" s="45"/>
      <c r="M101" s="45"/>
    </row>
    <row r="102" spans="2:13" ht="15.75">
      <c r="B102" s="32" t="s">
        <v>54</v>
      </c>
      <c r="C102" s="272">
        <f>C100/C101</f>
        <v>49.365824</v>
      </c>
      <c r="D102" s="3" t="s">
        <v>52</v>
      </c>
      <c r="E102" s="2"/>
      <c r="F102" s="72"/>
      <c r="G102" s="44"/>
      <c r="H102" s="94"/>
      <c r="I102" s="94"/>
      <c r="L102" s="45"/>
      <c r="M102" s="45"/>
    </row>
    <row r="103" spans="1:13" ht="13.5">
      <c r="A103" s="31"/>
      <c r="E103" s="34"/>
      <c r="F103" s="31"/>
      <c r="G103" s="35"/>
      <c r="H103" s="33"/>
      <c r="I103" s="31"/>
      <c r="J103" s="33"/>
      <c r="L103" s="45"/>
      <c r="M103" s="45"/>
    </row>
    <row r="104" spans="1:13" ht="13.5">
      <c r="A104" s="14" t="s">
        <v>172</v>
      </c>
      <c r="B104" s="14"/>
      <c r="C104" s="14"/>
      <c r="D104" s="14"/>
      <c r="E104" s="14"/>
      <c r="F104" s="14"/>
      <c r="G104" s="14"/>
      <c r="H104" s="14"/>
      <c r="I104" s="14"/>
      <c r="J104" s="31"/>
      <c r="L104" s="45"/>
      <c r="M104" s="45"/>
    </row>
    <row r="105" spans="2:13" ht="13.5">
      <c r="B105" s="10"/>
      <c r="C105" s="39"/>
      <c r="D105" s="30"/>
      <c r="E105" s="30"/>
      <c r="J105" s="31"/>
      <c r="L105" s="45"/>
      <c r="M105" s="45"/>
    </row>
    <row r="106" spans="2:13" ht="13.5">
      <c r="B106" s="21"/>
      <c r="C106" s="22" t="s">
        <v>60</v>
      </c>
      <c r="D106" s="22"/>
      <c r="E106" s="22"/>
      <c r="F106" s="42"/>
      <c r="G106" s="43" t="s">
        <v>140</v>
      </c>
      <c r="H106" s="41"/>
      <c r="I106" s="41"/>
      <c r="L106" s="45"/>
      <c r="M106" s="45"/>
    </row>
    <row r="107" spans="2:13" ht="13.5">
      <c r="B107" s="7" t="s">
        <v>55</v>
      </c>
      <c r="C107" s="275">
        <f>Vcc*Vdc_max/Vdc_min+Vdc_max*Nc/Np</f>
        <v>64.09414990859233</v>
      </c>
      <c r="D107" s="275"/>
      <c r="E107" s="269" t="s">
        <v>3</v>
      </c>
      <c r="F107" s="4"/>
      <c r="G107" s="98">
        <v>0.1</v>
      </c>
      <c r="H107" s="3" t="s">
        <v>22</v>
      </c>
      <c r="I107" s="73"/>
      <c r="J107" s="72"/>
      <c r="K107" s="72"/>
      <c r="L107" s="95"/>
      <c r="M107" s="45"/>
    </row>
    <row r="108" spans="2:13" ht="13.5">
      <c r="B108" s="7" t="s">
        <v>56</v>
      </c>
      <c r="C108" s="275">
        <f>Vdc_max/Np*Ns1</f>
        <v>20.60169104204753</v>
      </c>
      <c r="D108" s="275"/>
      <c r="E108" s="269" t="s">
        <v>3</v>
      </c>
      <c r="F108" s="4"/>
      <c r="G108" s="98">
        <f>Io_1*SQRT((3+KRF^2)*Dmax/3)</f>
        <v>2.5392912396966207</v>
      </c>
      <c r="H108" s="3" t="s">
        <v>22</v>
      </c>
      <c r="I108" s="73"/>
      <c r="J108" s="72"/>
      <c r="K108" s="72"/>
      <c r="L108" s="96"/>
      <c r="M108" s="48"/>
    </row>
    <row r="109" spans="2:13" ht="13.5">
      <c r="B109" s="7" t="s">
        <v>57</v>
      </c>
      <c r="C109" s="275">
        <f>Vdc_max/Np*Ns2</f>
        <v>0</v>
      </c>
      <c r="D109" s="275"/>
      <c r="E109" s="269" t="s">
        <v>3</v>
      </c>
      <c r="F109" s="4"/>
      <c r="G109" s="98">
        <f>Io_2*SQRT((3+KRF^2)*Dmax/3)</f>
        <v>6.348228099241552</v>
      </c>
      <c r="H109" s="3" t="s">
        <v>22</v>
      </c>
      <c r="I109" s="73"/>
      <c r="J109" s="72"/>
      <c r="K109" s="72"/>
      <c r="L109" s="72"/>
      <c r="M109" s="49"/>
    </row>
    <row r="110" spans="2:13" ht="13.5">
      <c r="B110" s="7" t="s">
        <v>58</v>
      </c>
      <c r="C110" s="275">
        <f>Vdc_max/Np*Ns3</f>
        <v>6.867230347349177</v>
      </c>
      <c r="D110" s="275"/>
      <c r="E110" s="269" t="s">
        <v>3</v>
      </c>
      <c r="F110" s="4"/>
      <c r="G110" s="98">
        <f>Io3rms</f>
        <v>3.8089368595449313</v>
      </c>
      <c r="H110" s="3" t="s">
        <v>22</v>
      </c>
      <c r="I110" s="73"/>
      <c r="J110" s="72"/>
      <c r="K110" s="72"/>
      <c r="L110" s="72"/>
      <c r="M110" s="49"/>
    </row>
    <row r="111" spans="2:13" ht="13.5">
      <c r="B111" s="7" t="s">
        <v>59</v>
      </c>
      <c r="C111" s="275">
        <f>Vdc_max/Np*Ns4</f>
        <v>0</v>
      </c>
      <c r="D111" s="275"/>
      <c r="E111" s="269" t="s">
        <v>3</v>
      </c>
      <c r="F111" s="4"/>
      <c r="G111" s="98">
        <f>Io4rms</f>
        <v>0</v>
      </c>
      <c r="H111" s="3" t="s">
        <v>22</v>
      </c>
      <c r="J111" s="72"/>
      <c r="L111" s="49"/>
      <c r="M111" s="49"/>
    </row>
    <row r="112" spans="1:13" ht="13.5">
      <c r="A112" s="18"/>
      <c r="B112" s="31"/>
      <c r="C112" s="38"/>
      <c r="D112" s="38"/>
      <c r="E112" s="38"/>
      <c r="F112" s="83"/>
      <c r="G112" s="84"/>
      <c r="H112" s="38"/>
      <c r="I112" s="38"/>
      <c r="J112" s="85"/>
      <c r="M112" s="47"/>
    </row>
    <row r="113" spans="1:13" ht="13.5">
      <c r="A113" s="14" t="s">
        <v>173</v>
      </c>
      <c r="B113" s="14"/>
      <c r="C113" s="14"/>
      <c r="D113" s="14"/>
      <c r="E113" s="14"/>
      <c r="F113" s="14"/>
      <c r="G113" s="14"/>
      <c r="H113" s="14"/>
      <c r="I113" s="14"/>
      <c r="L113" s="57"/>
      <c r="M113" s="49"/>
    </row>
    <row r="114" spans="2:13" ht="13.5">
      <c r="B114" s="10"/>
      <c r="C114" s="39"/>
      <c r="D114" s="30"/>
      <c r="E114" s="30"/>
      <c r="L114" s="58"/>
      <c r="M114" s="49"/>
    </row>
    <row r="115" spans="2:13" ht="13.5">
      <c r="B115" s="21"/>
      <c r="C115" s="286" t="s">
        <v>139</v>
      </c>
      <c r="D115" s="286"/>
      <c r="E115" s="74" t="s">
        <v>67</v>
      </c>
      <c r="F115" s="74"/>
      <c r="G115" s="75" t="s">
        <v>70</v>
      </c>
      <c r="H115" s="75"/>
      <c r="I115" s="43" t="s">
        <v>72</v>
      </c>
      <c r="J115" s="43"/>
      <c r="L115" s="57"/>
      <c r="M115" s="49"/>
    </row>
    <row r="116" spans="2:13" ht="13.5">
      <c r="B116" s="21"/>
      <c r="C116" s="286"/>
      <c r="D116" s="286"/>
      <c r="E116" s="74"/>
      <c r="F116" s="74"/>
      <c r="G116" s="75" t="s">
        <v>69</v>
      </c>
      <c r="H116" s="75"/>
      <c r="I116" s="27" t="s">
        <v>71</v>
      </c>
      <c r="J116" s="27"/>
      <c r="L116" s="57"/>
      <c r="M116" s="47"/>
    </row>
    <row r="117" spans="2:13" ht="13.5">
      <c r="B117" s="7" t="s">
        <v>63</v>
      </c>
      <c r="C117" s="25">
        <v>4400</v>
      </c>
      <c r="D117" s="11" t="s">
        <v>62</v>
      </c>
      <c r="E117" s="25">
        <v>20</v>
      </c>
      <c r="F117" s="30" t="s">
        <v>68</v>
      </c>
      <c r="G117" s="98">
        <f>KRF*Io_1/SQRT(3)</f>
        <v>0.34641016151377546</v>
      </c>
      <c r="H117" s="276" t="s">
        <v>3</v>
      </c>
      <c r="I117" s="98">
        <f>Io_1*KRF/4/C117/fs*1000000+2*KRF*Io_1*E117/1000</f>
        <v>0.02434090909090909</v>
      </c>
      <c r="J117" s="29" t="s">
        <v>3</v>
      </c>
      <c r="L117" s="57"/>
      <c r="M117" s="49"/>
    </row>
    <row r="118" spans="2:13" ht="13.5">
      <c r="B118" s="7" t="s">
        <v>64</v>
      </c>
      <c r="C118" s="25">
        <v>4400</v>
      </c>
      <c r="D118" s="11" t="s">
        <v>62</v>
      </c>
      <c r="E118" s="25">
        <v>20</v>
      </c>
      <c r="F118" s="30" t="s">
        <v>68</v>
      </c>
      <c r="G118" s="98">
        <f>KRF*Io_2/SQRT(3)</f>
        <v>0.8660254037844387</v>
      </c>
      <c r="H118" s="276" t="s">
        <v>3</v>
      </c>
      <c r="I118" s="98">
        <f>Io_2*KRF/4/C118/fs*1000000+2*KRF*Io_2*E118/1000</f>
        <v>0.06085227272727273</v>
      </c>
      <c r="J118" s="29" t="s">
        <v>3</v>
      </c>
      <c r="L118" s="58"/>
      <c r="M118" s="48"/>
    </row>
    <row r="119" spans="2:13" ht="13.5">
      <c r="B119" s="7" t="s">
        <v>65</v>
      </c>
      <c r="C119" s="25">
        <v>2000</v>
      </c>
      <c r="D119" s="11" t="s">
        <v>62</v>
      </c>
      <c r="E119" s="25">
        <v>60</v>
      </c>
      <c r="F119" s="30" t="s">
        <v>68</v>
      </c>
      <c r="G119" s="98">
        <f>KRF*Io_3/SQRT(3)</f>
        <v>0.5196152422706631</v>
      </c>
      <c r="H119" s="276" t="s">
        <v>3</v>
      </c>
      <c r="I119" s="98">
        <f>Io_3*KRF/4/C119/fs*1000000+2*KRF*Io_3*E119/1000</f>
        <v>0.10912499999999999</v>
      </c>
      <c r="J119" s="29" t="s">
        <v>3</v>
      </c>
      <c r="L119" s="57"/>
      <c r="M119" s="48"/>
    </row>
    <row r="120" spans="2:13" ht="13.5">
      <c r="B120" s="7" t="s">
        <v>66</v>
      </c>
      <c r="C120" s="25">
        <v>1000</v>
      </c>
      <c r="D120" s="11" t="s">
        <v>62</v>
      </c>
      <c r="E120" s="25">
        <v>0</v>
      </c>
      <c r="F120" s="30" t="s">
        <v>68</v>
      </c>
      <c r="G120" s="98">
        <f>KRF*Io_4/SQRT(3)</f>
        <v>0</v>
      </c>
      <c r="H120" s="276" t="s">
        <v>3</v>
      </c>
      <c r="I120" s="98">
        <f>Io_1*KRF/4/C120/fs*1000000+2*KRF*Io_1*E120/1000</f>
        <v>0.0014999999999999998</v>
      </c>
      <c r="J120" s="29" t="s">
        <v>3</v>
      </c>
      <c r="L120" s="59"/>
      <c r="M120" s="45"/>
    </row>
    <row r="121" spans="12:13" ht="13.5">
      <c r="L121" s="60"/>
      <c r="M121" s="45"/>
    </row>
    <row r="122" spans="1:13" ht="13.5">
      <c r="A122" s="14" t="s">
        <v>174</v>
      </c>
      <c r="B122" s="14"/>
      <c r="C122" s="14"/>
      <c r="D122" s="14"/>
      <c r="E122" s="14"/>
      <c r="F122" s="14"/>
      <c r="G122" s="14"/>
      <c r="H122" s="14"/>
      <c r="I122" s="14"/>
      <c r="L122" s="61"/>
      <c r="M122" s="45"/>
    </row>
    <row r="123" spans="2:13" ht="13.5">
      <c r="B123" s="7" t="s">
        <v>175</v>
      </c>
      <c r="C123" s="98">
        <f>Vdc_min/Lm*Dmax/fs*SQRT(Dmax/3)</f>
        <v>0.04836857243892437</v>
      </c>
      <c r="D123" s="3" t="s">
        <v>22</v>
      </c>
      <c r="E123" s="18"/>
      <c r="F123" s="18"/>
      <c r="G123" s="18"/>
      <c r="H123" s="18"/>
      <c r="I123" s="18"/>
      <c r="J123" s="18"/>
      <c r="L123" s="61"/>
      <c r="M123" s="45"/>
    </row>
    <row r="124" spans="2:13" ht="13.5">
      <c r="B124" s="7" t="s">
        <v>176</v>
      </c>
      <c r="C124" s="98">
        <f>Vdc_max*(1+Nr/Np)</f>
        <v>999.3775840769873</v>
      </c>
      <c r="D124" s="3" t="s">
        <v>3</v>
      </c>
      <c r="E124" s="73"/>
      <c r="F124" s="97"/>
      <c r="G124" s="18"/>
      <c r="H124" s="18"/>
      <c r="I124" s="18"/>
      <c r="J124" s="18"/>
      <c r="L124" s="61"/>
      <c r="M124" s="45"/>
    </row>
    <row r="125" spans="2:13" ht="12" customHeight="1">
      <c r="B125" s="16"/>
      <c r="C125" s="39"/>
      <c r="D125" s="52"/>
      <c r="E125" s="18"/>
      <c r="F125" s="18"/>
      <c r="G125" s="18"/>
      <c r="H125" s="18"/>
      <c r="I125" s="18"/>
      <c r="J125" s="18"/>
      <c r="L125" s="61"/>
      <c r="M125" s="45"/>
    </row>
    <row r="126" spans="1:13" ht="13.5">
      <c r="A126" s="14" t="s">
        <v>178</v>
      </c>
      <c r="B126" s="14"/>
      <c r="C126" s="14"/>
      <c r="D126" s="14"/>
      <c r="E126" s="14"/>
      <c r="F126" s="14"/>
      <c r="G126" s="14"/>
      <c r="H126" s="14"/>
      <c r="I126" s="14"/>
      <c r="K126" s="12"/>
      <c r="L126" s="61"/>
      <c r="M126" s="45"/>
    </row>
    <row r="127" spans="11:13" ht="13.5">
      <c r="K127" s="12"/>
      <c r="L127" s="61"/>
      <c r="M127" s="45"/>
    </row>
    <row r="128" spans="10:13" ht="13.5">
      <c r="J128" s="50"/>
      <c r="K128" s="12"/>
      <c r="L128" s="61"/>
      <c r="M128" s="45"/>
    </row>
    <row r="129" spans="2:13" ht="13.5">
      <c r="B129" s="62" t="s">
        <v>102</v>
      </c>
      <c r="C129" s="275">
        <f>Ilim/3*(Vo1^2/Po)*Np/Ns1</f>
        <v>30.318433024420262</v>
      </c>
      <c r="D129" s="55"/>
      <c r="G129" s="50"/>
      <c r="H129" s="50"/>
      <c r="I129" s="50"/>
      <c r="L129" s="61"/>
      <c r="M129" s="45"/>
    </row>
    <row r="130" spans="2:13" ht="13.5">
      <c r="B130" s="62" t="s">
        <v>103</v>
      </c>
      <c r="C130" s="280">
        <f>1/(2*3.14*Rc_1*Co_1)*10^9</f>
        <v>1809.4962362478286</v>
      </c>
      <c r="D130" s="3" t="s">
        <v>75</v>
      </c>
      <c r="E130" s="3"/>
      <c r="K130" s="12"/>
      <c r="L130" s="61"/>
      <c r="M130" s="45"/>
    </row>
    <row r="131" spans="2:13" ht="13.5">
      <c r="B131" s="62" t="s">
        <v>104</v>
      </c>
      <c r="C131" s="280">
        <f>1/(2*3.14*Vo1^2/Po*Co_1)*10^6</f>
        <v>28.951939779965258</v>
      </c>
      <c r="D131" s="3" t="s">
        <v>4</v>
      </c>
      <c r="K131" s="12"/>
      <c r="L131" s="61"/>
      <c r="M131" s="45"/>
    </row>
    <row r="132" spans="5:13" ht="13.5">
      <c r="E132" s="44"/>
      <c r="F132" s="44"/>
      <c r="K132" s="12"/>
      <c r="L132" s="61"/>
      <c r="M132" s="45"/>
    </row>
    <row r="133" spans="2:13" ht="13.5">
      <c r="B133" s="10" t="s">
        <v>99</v>
      </c>
      <c r="C133" s="17">
        <v>5</v>
      </c>
      <c r="D133" s="11" t="s">
        <v>100</v>
      </c>
      <c r="K133" s="12"/>
      <c r="L133" s="61"/>
      <c r="M133" s="45"/>
    </row>
    <row r="134" spans="2:13" ht="13.5">
      <c r="B134" s="10" t="s">
        <v>90</v>
      </c>
      <c r="C134" s="17">
        <v>5</v>
      </c>
      <c r="D134" s="11" t="s">
        <v>73</v>
      </c>
      <c r="K134" s="51"/>
      <c r="L134" s="61"/>
      <c r="M134" s="45"/>
    </row>
    <row r="135" spans="2:13" ht="13.5">
      <c r="B135" s="10" t="s">
        <v>89</v>
      </c>
      <c r="C135" s="17">
        <v>1</v>
      </c>
      <c r="D135" s="11" t="s">
        <v>101</v>
      </c>
      <c r="E135" s="53"/>
      <c r="F135" s="54"/>
      <c r="G135" s="54"/>
      <c r="K135" s="51"/>
      <c r="L135" s="61"/>
      <c r="M135" s="45"/>
    </row>
    <row r="136" spans="2:13" ht="13.5">
      <c r="B136" s="10" t="s">
        <v>91</v>
      </c>
      <c r="C136" s="17">
        <v>1.2</v>
      </c>
      <c r="D136" s="11" t="s">
        <v>101</v>
      </c>
      <c r="E136" s="56"/>
      <c r="F136" s="54"/>
      <c r="G136" s="54"/>
      <c r="K136" s="51"/>
      <c r="L136" s="61"/>
      <c r="M136" s="45"/>
    </row>
    <row r="137" spans="2:13" ht="13.5">
      <c r="B137" s="16" t="s">
        <v>93</v>
      </c>
      <c r="C137" s="17">
        <v>10</v>
      </c>
      <c r="D137" s="52" t="s">
        <v>92</v>
      </c>
      <c r="K137" s="51"/>
      <c r="L137" s="61"/>
      <c r="M137" s="45"/>
    </row>
    <row r="138" spans="2:13" ht="13.5">
      <c r="B138" s="16" t="s">
        <v>94</v>
      </c>
      <c r="C138" s="17">
        <v>100</v>
      </c>
      <c r="D138" s="52" t="s">
        <v>92</v>
      </c>
      <c r="K138" s="51"/>
      <c r="L138" s="61"/>
      <c r="M138" s="45"/>
    </row>
    <row r="139" spans="2:13" ht="13.5">
      <c r="B139" s="16" t="s">
        <v>95</v>
      </c>
      <c r="C139" s="17">
        <v>1</v>
      </c>
      <c r="D139" s="52" t="s">
        <v>73</v>
      </c>
      <c r="K139" s="51"/>
      <c r="L139" s="61"/>
      <c r="M139" s="45"/>
    </row>
    <row r="140" spans="11:12" ht="13.5">
      <c r="K140" s="51"/>
      <c r="L140" s="61"/>
    </row>
    <row r="141" spans="2:12" ht="13.5">
      <c r="B141" s="7" t="s">
        <v>86</v>
      </c>
      <c r="C141" s="278">
        <f>3/(2*3.14*C133*C135*C138)*1000000</f>
        <v>955.4140127388536</v>
      </c>
      <c r="D141" s="3" t="s">
        <v>4</v>
      </c>
      <c r="E141" s="44"/>
      <c r="F141" s="44"/>
      <c r="K141" s="51"/>
      <c r="L141" s="61"/>
    </row>
    <row r="142" spans="2:12" ht="13.5">
      <c r="B142" s="7" t="s">
        <v>87</v>
      </c>
      <c r="C142" s="279">
        <f>1/(2*3.14*C138*(C139+C133))*10^6</f>
        <v>265.3927813163482</v>
      </c>
      <c r="D142" s="3" t="s">
        <v>4</v>
      </c>
      <c r="K142" s="51"/>
      <c r="L142" s="12"/>
    </row>
    <row r="143" spans="2:12" ht="13.5">
      <c r="B143" s="7" t="s">
        <v>88</v>
      </c>
      <c r="C143" s="279">
        <f>1/(2*3.14*3*C137)*1000000</f>
        <v>5307.855626326964</v>
      </c>
      <c r="D143" s="3" t="s">
        <v>4</v>
      </c>
      <c r="K143" s="51"/>
      <c r="L143" s="12"/>
    </row>
    <row r="144" spans="1:12" ht="13.5">
      <c r="A144" s="87"/>
      <c r="B144" s="87"/>
      <c r="C144" s="87"/>
      <c r="D144" s="87"/>
      <c r="E144" s="88"/>
      <c r="F144" s="87"/>
      <c r="G144" s="87"/>
      <c r="H144" s="87"/>
      <c r="I144" s="87"/>
      <c r="J144" s="87"/>
      <c r="K144" s="88"/>
      <c r="L144" s="87"/>
    </row>
    <row r="145" spans="1:12" ht="13.5">
      <c r="A145" s="87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1"/>
    </row>
    <row r="146" spans="1:12" ht="13.5">
      <c r="A146" s="87"/>
      <c r="B146" s="51">
        <v>16</v>
      </c>
      <c r="C146" s="51">
        <f>20*LOG(K_1*SQRT(1+B146^2/fz_1^2)/SQRT(1+B146^2/fp_1^2))</f>
        <v>28.477001992426207</v>
      </c>
      <c r="D146" s="51">
        <f aca="true" t="shared" si="1" ref="D146:D165">20*LOG(fi/B146*SQRT(1+B146^2/fz^2)/SQRT(1+B146^2/fp^2))</f>
        <v>35.537149453902195</v>
      </c>
      <c r="E146" s="51">
        <f aca="true" t="shared" si="2" ref="E146:E165">SUM(C146:D146)</f>
        <v>64.0141514463284</v>
      </c>
      <c r="F146" s="51"/>
      <c r="G146" s="51">
        <v>16</v>
      </c>
      <c r="H146" s="51">
        <f>180/3.14*(ATAN(G146/fz_1)-ATAN(G146/fp_1))</f>
        <v>-28.43460074509831</v>
      </c>
      <c r="I146" s="51">
        <f aca="true" t="shared" si="3" ref="I146:I165">180/3.14*(ATAN(G146/fz)-ATAN(G146/fp))-90</f>
        <v>-86.72097747773809</v>
      </c>
      <c r="J146" s="51">
        <f aca="true" t="shared" si="4" ref="J146:J165">SUM(H146:I146)</f>
        <v>-115.1555782228364</v>
      </c>
      <c r="K146" s="90"/>
      <c r="L146" s="91"/>
    </row>
    <row r="147" spans="1:12" ht="13.5">
      <c r="A147" s="87"/>
      <c r="B147" s="51">
        <v>25</v>
      </c>
      <c r="C147" s="51">
        <f aca="true" t="shared" si="5" ref="C147:C165">20*LOG(K_1*SQRT(1+B147^2/fz_1^2)/SQRT(1+B147^2/fp_1^2))</f>
        <v>27.215436372494995</v>
      </c>
      <c r="D147" s="51">
        <f t="shared" si="1"/>
        <v>31.683303364954117</v>
      </c>
      <c r="E147" s="51">
        <f t="shared" si="2"/>
        <v>58.89873973744911</v>
      </c>
      <c r="F147" s="51"/>
      <c r="G147" s="51">
        <v>25</v>
      </c>
      <c r="H147" s="51">
        <f aca="true" t="shared" si="6" ref="H147:H165">180/3.14*(ATAN(G147/fz_1)-ATAN(G147/fp_1))</f>
        <v>-40.039358519834245</v>
      </c>
      <c r="I147" s="51">
        <f t="shared" si="3"/>
        <v>-84.8858860499738</v>
      </c>
      <c r="J147" s="51">
        <f t="shared" si="4"/>
        <v>-124.92524456980806</v>
      </c>
      <c r="K147" s="90"/>
      <c r="L147" s="91"/>
    </row>
    <row r="148" spans="1:12" ht="13.5">
      <c r="A148" s="87"/>
      <c r="B148" s="51">
        <v>40</v>
      </c>
      <c r="C148" s="51">
        <f t="shared" si="5"/>
        <v>24.999090398286242</v>
      </c>
      <c r="D148" s="51">
        <f t="shared" si="1"/>
        <v>27.659938377008686</v>
      </c>
      <c r="E148" s="51">
        <f t="shared" si="2"/>
        <v>52.65902877529493</v>
      </c>
      <c r="F148" s="51"/>
      <c r="G148" s="51">
        <v>40</v>
      </c>
      <c r="H148" s="51">
        <f t="shared" si="6"/>
        <v>-52.86348536620103</v>
      </c>
      <c r="I148" s="51">
        <f t="shared" si="3"/>
        <v>-81.8565378959438</v>
      </c>
      <c r="J148" s="51">
        <f t="shared" si="4"/>
        <v>-134.72002326214482</v>
      </c>
      <c r="K148" s="90"/>
      <c r="L148" s="91"/>
    </row>
    <row r="149" spans="1:12" ht="13.5">
      <c r="A149" s="87"/>
      <c r="B149" s="51">
        <v>63</v>
      </c>
      <c r="C149" s="51">
        <f t="shared" si="5"/>
        <v>22.054014295171495</v>
      </c>
      <c r="D149" s="51">
        <f t="shared" si="1"/>
        <v>23.85449251173911</v>
      </c>
      <c r="E149" s="51">
        <f t="shared" si="2"/>
        <v>45.90850680691061</v>
      </c>
      <c r="F149" s="51"/>
      <c r="G149" s="51">
        <v>63</v>
      </c>
      <c r="H149" s="51">
        <f t="shared" si="6"/>
        <v>-63.35673243735839</v>
      </c>
      <c r="I149" s="51">
        <f t="shared" si="3"/>
        <v>-77.31966789950917</v>
      </c>
      <c r="J149" s="51">
        <f t="shared" si="4"/>
        <v>-140.67640033686757</v>
      </c>
      <c r="K149" s="90"/>
      <c r="L149" s="91"/>
    </row>
    <row r="150" spans="1:12" ht="13.5">
      <c r="A150" s="87"/>
      <c r="B150" s="51">
        <v>100</v>
      </c>
      <c r="C150" s="51">
        <f t="shared" si="5"/>
        <v>18.531354435517834</v>
      </c>
      <c r="D150" s="51">
        <f t="shared" si="1"/>
        <v>20.178869183862357</v>
      </c>
      <c r="E150" s="51">
        <f t="shared" si="2"/>
        <v>38.71022361938019</v>
      </c>
      <c r="F150" s="51"/>
      <c r="G150" s="51">
        <v>100</v>
      </c>
      <c r="H150" s="51">
        <f t="shared" si="6"/>
        <v>-70.72592324066963</v>
      </c>
      <c r="I150" s="51">
        <f t="shared" si="3"/>
        <v>-70.42299097001222</v>
      </c>
      <c r="J150" s="51">
        <f t="shared" si="4"/>
        <v>-141.14891421068185</v>
      </c>
      <c r="K150" s="90"/>
      <c r="L150" s="91"/>
    </row>
    <row r="151" spans="1:12" ht="13.5">
      <c r="A151" s="87"/>
      <c r="B151" s="51">
        <v>160</v>
      </c>
      <c r="C151" s="51">
        <f t="shared" si="5"/>
        <v>14.679190447020215</v>
      </c>
      <c r="D151" s="51">
        <f t="shared" si="1"/>
        <v>16.863925701980992</v>
      </c>
      <c r="E151" s="51">
        <f t="shared" si="2"/>
        <v>31.543116149001207</v>
      </c>
      <c r="F151" s="51"/>
      <c r="G151" s="51">
        <v>160</v>
      </c>
      <c r="H151" s="51">
        <f t="shared" si="6"/>
        <v>-74.72812865538577</v>
      </c>
      <c r="I151" s="51">
        <f t="shared" si="3"/>
        <v>-60.62677554373848</v>
      </c>
      <c r="J151" s="51">
        <f t="shared" si="4"/>
        <v>-135.35490419912426</v>
      </c>
      <c r="K151" s="90"/>
      <c r="L151" s="91"/>
    </row>
    <row r="152" spans="1:12" ht="13.5">
      <c r="A152" s="87"/>
      <c r="B152" s="51">
        <v>250</v>
      </c>
      <c r="C152" s="51">
        <f t="shared" si="5"/>
        <v>10.93314784677239</v>
      </c>
      <c r="D152" s="51">
        <f t="shared" si="1"/>
        <v>14.39396486767553</v>
      </c>
      <c r="E152" s="51">
        <f t="shared" si="2"/>
        <v>25.32711271444792</v>
      </c>
      <c r="F152" s="51"/>
      <c r="G152" s="51">
        <v>250</v>
      </c>
      <c r="H152" s="51">
        <f t="shared" si="6"/>
        <v>-75.56625282120234</v>
      </c>
      <c r="I152" s="51">
        <f t="shared" si="3"/>
        <v>-49.38674308067571</v>
      </c>
      <c r="J152" s="51">
        <f t="shared" si="4"/>
        <v>-124.95299590187804</v>
      </c>
      <c r="K152" s="90"/>
      <c r="L152" s="91"/>
    </row>
    <row r="153" spans="1:12" ht="13.5">
      <c r="A153" s="87"/>
      <c r="B153" s="51">
        <v>400</v>
      </c>
      <c r="C153" s="51">
        <f t="shared" si="5"/>
        <v>7.010994985930957</v>
      </c>
      <c r="D153" s="51">
        <f t="shared" si="1"/>
        <v>12.685708741895212</v>
      </c>
      <c r="E153" s="51">
        <f t="shared" si="2"/>
        <v>19.69670372782617</v>
      </c>
      <c r="F153" s="51"/>
      <c r="G153" s="51">
        <v>400</v>
      </c>
      <c r="H153" s="51">
        <f t="shared" si="6"/>
        <v>-73.43226954153175</v>
      </c>
      <c r="I153" s="51">
        <f t="shared" si="3"/>
        <v>-37.84678037467788</v>
      </c>
      <c r="J153" s="51">
        <f t="shared" si="4"/>
        <v>-111.27904991620963</v>
      </c>
      <c r="K153" s="90"/>
      <c r="L153" s="91"/>
    </row>
    <row r="154" spans="1:12" ht="13.5">
      <c r="A154" s="87"/>
      <c r="B154" s="51">
        <v>630</v>
      </c>
      <c r="C154" s="51">
        <f t="shared" si="5"/>
        <v>3.3686142810234143</v>
      </c>
      <c r="D154" s="51">
        <f t="shared" si="1"/>
        <v>11.7747510288243</v>
      </c>
      <c r="E154" s="51">
        <f t="shared" si="2"/>
        <v>15.143365309847713</v>
      </c>
      <c r="F154" s="51"/>
      <c r="G154" s="51">
        <v>630</v>
      </c>
      <c r="H154" s="51">
        <f t="shared" si="6"/>
        <v>-68.20713867727895</v>
      </c>
      <c r="I154" s="51">
        <f t="shared" si="3"/>
        <v>-29.581920500609222</v>
      </c>
      <c r="J154" s="51">
        <f t="shared" si="4"/>
        <v>-97.78905917788816</v>
      </c>
      <c r="K154" s="90"/>
      <c r="L154" s="91"/>
    </row>
    <row r="155" spans="1:12" ht="13.5">
      <c r="A155" s="87"/>
      <c r="B155" s="51">
        <v>1000</v>
      </c>
      <c r="C155" s="51">
        <f t="shared" si="5"/>
        <v>0.021522147739949003</v>
      </c>
      <c r="D155" s="51">
        <f t="shared" si="1"/>
        <v>11.270168024461594</v>
      </c>
      <c r="E155" s="51">
        <f t="shared" si="2"/>
        <v>11.291690172201543</v>
      </c>
      <c r="F155" s="51"/>
      <c r="G155" s="51">
        <v>1000</v>
      </c>
      <c r="H155" s="51">
        <f t="shared" si="6"/>
        <v>-59.44497991907805</v>
      </c>
      <c r="I155" s="51">
        <f t="shared" si="3"/>
        <v>-25.50001632894967</v>
      </c>
      <c r="J155" s="51">
        <f t="shared" si="4"/>
        <v>-84.94499624802772</v>
      </c>
      <c r="K155" s="90"/>
      <c r="L155" s="91"/>
    </row>
    <row r="156" spans="1:12" ht="13.5">
      <c r="A156" s="87"/>
      <c r="B156" s="51">
        <v>1600</v>
      </c>
      <c r="C156" s="51">
        <f t="shared" si="5"/>
        <v>-2.7074165665161627</v>
      </c>
      <c r="D156" s="51">
        <f t="shared" si="1"/>
        <v>10.866208995380518</v>
      </c>
      <c r="E156" s="51">
        <f t="shared" si="2"/>
        <v>8.158792428864356</v>
      </c>
      <c r="F156" s="51"/>
      <c r="G156" s="51">
        <v>1600</v>
      </c>
      <c r="H156" s="51">
        <f t="shared" si="6"/>
        <v>-47.50354467648124</v>
      </c>
      <c r="I156" s="51">
        <f t="shared" si="3"/>
        <v>-26.160475527397153</v>
      </c>
      <c r="J156" s="51">
        <f t="shared" si="4"/>
        <v>-73.6640202038784</v>
      </c>
      <c r="K156" s="91"/>
      <c r="L156" s="91"/>
    </row>
    <row r="157" spans="1:13" ht="13.5">
      <c r="A157" s="87"/>
      <c r="B157" s="51">
        <v>2500</v>
      </c>
      <c r="C157" s="51">
        <f t="shared" si="5"/>
        <v>-4.454527894294218</v>
      </c>
      <c r="D157" s="51">
        <f t="shared" si="1"/>
        <v>10.30457144494794</v>
      </c>
      <c r="E157" s="51">
        <f t="shared" si="2"/>
        <v>5.850043550653723</v>
      </c>
      <c r="F157" s="51"/>
      <c r="G157" s="51">
        <v>2500</v>
      </c>
      <c r="H157" s="51">
        <f t="shared" si="6"/>
        <v>-35.251333829492005</v>
      </c>
      <c r="I157" s="51">
        <f t="shared" si="3"/>
        <v>-31.250311745000445</v>
      </c>
      <c r="J157" s="51">
        <f t="shared" si="4"/>
        <v>-66.50164557449244</v>
      </c>
      <c r="K157" s="91"/>
      <c r="L157" s="91"/>
      <c r="M157" s="63"/>
    </row>
    <row r="158" spans="1:13" ht="13.5">
      <c r="A158" s="87"/>
      <c r="B158" s="51">
        <v>4000</v>
      </c>
      <c r="C158" s="51">
        <f t="shared" si="5"/>
        <v>-5.475111779680067</v>
      </c>
      <c r="D158" s="51">
        <f t="shared" si="1"/>
        <v>9.191906563531427</v>
      </c>
      <c r="E158" s="51">
        <f t="shared" si="2"/>
        <v>3.71679478385136</v>
      </c>
      <c r="F158" s="51"/>
      <c r="G158" s="51">
        <v>4000</v>
      </c>
      <c r="H158" s="51">
        <f t="shared" si="6"/>
        <v>-23.938198973046518</v>
      </c>
      <c r="I158" s="51">
        <f t="shared" si="3"/>
        <v>-40.77263111907221</v>
      </c>
      <c r="J158" s="51">
        <f t="shared" si="4"/>
        <v>-64.71083009211873</v>
      </c>
      <c r="K158" s="91"/>
      <c r="L158" s="91"/>
      <c r="M158" s="63"/>
    </row>
    <row r="159" spans="1:13" ht="13.5">
      <c r="A159" s="87"/>
      <c r="B159" s="51">
        <v>6300</v>
      </c>
      <c r="C159" s="51">
        <f t="shared" si="5"/>
        <v>-5.9392929822689435</v>
      </c>
      <c r="D159" s="51">
        <f t="shared" si="1"/>
        <v>7.3157803965734605</v>
      </c>
      <c r="E159" s="51">
        <f t="shared" si="2"/>
        <v>1.376487414304517</v>
      </c>
      <c r="F159" s="51"/>
      <c r="G159" s="51">
        <v>6300</v>
      </c>
      <c r="H159" s="51">
        <f t="shared" si="6"/>
        <v>-15.769901318868586</v>
      </c>
      <c r="I159" s="51">
        <f t="shared" si="3"/>
        <v>-52.27838365733627</v>
      </c>
      <c r="J159" s="51">
        <f t="shared" si="4"/>
        <v>-68.04828497620485</v>
      </c>
      <c r="K159" s="91"/>
      <c r="L159" s="92"/>
      <c r="M159" s="63"/>
    </row>
    <row r="160" spans="1:13" ht="13.5">
      <c r="A160" s="87"/>
      <c r="B160" s="51">
        <v>10000</v>
      </c>
      <c r="C160" s="51">
        <f t="shared" si="5"/>
        <v>-6.143580102982017</v>
      </c>
      <c r="D160" s="51">
        <f t="shared" si="1"/>
        <v>4.549513128064569</v>
      </c>
      <c r="E160" s="51">
        <f t="shared" si="2"/>
        <v>-1.5940669749174479</v>
      </c>
      <c r="F160" s="51"/>
      <c r="G160" s="51">
        <v>10000</v>
      </c>
      <c r="H160" s="51">
        <f t="shared" si="6"/>
        <v>-10.095903127640096</v>
      </c>
      <c r="I160" s="51">
        <f t="shared" si="3"/>
        <v>-63.54810459723647</v>
      </c>
      <c r="J160" s="51">
        <f t="shared" si="4"/>
        <v>-73.64400772487656</v>
      </c>
      <c r="K160" s="91"/>
      <c r="L160" s="92"/>
      <c r="M160" s="63"/>
    </row>
    <row r="161" spans="1:13" ht="13.5">
      <c r="A161" s="87"/>
      <c r="B161" s="51">
        <v>16000</v>
      </c>
      <c r="C161" s="51">
        <f t="shared" si="5"/>
        <v>-6.228284877423292</v>
      </c>
      <c r="D161" s="51">
        <f t="shared" si="1"/>
        <v>1.089793571884053</v>
      </c>
      <c r="E161" s="51">
        <f t="shared" si="2"/>
        <v>-5.1384913055392385</v>
      </c>
      <c r="F161" s="51"/>
      <c r="G161" s="51">
        <v>16000</v>
      </c>
      <c r="H161" s="51">
        <f t="shared" si="6"/>
        <v>-6.351909158460484</v>
      </c>
      <c r="I161" s="51">
        <f t="shared" si="3"/>
        <v>-72.58865609024289</v>
      </c>
      <c r="J161" s="51">
        <f t="shared" si="4"/>
        <v>-78.94056524870338</v>
      </c>
      <c r="K161" s="91"/>
      <c r="L161" s="92"/>
      <c r="M161" s="63"/>
    </row>
    <row r="162" spans="1:13" ht="13.5">
      <c r="A162" s="87"/>
      <c r="B162" s="51">
        <v>25000</v>
      </c>
      <c r="C162" s="51">
        <f t="shared" si="5"/>
        <v>-6.260778526844955</v>
      </c>
      <c r="D162" s="51">
        <f t="shared" si="1"/>
        <v>-2.525363005075036</v>
      </c>
      <c r="E162" s="51">
        <f t="shared" si="2"/>
        <v>-8.786141531919991</v>
      </c>
      <c r="F162" s="51"/>
      <c r="G162" s="51">
        <v>25000</v>
      </c>
      <c r="H162" s="51">
        <f t="shared" si="6"/>
        <v>-4.075553846132348</v>
      </c>
      <c r="I162" s="51">
        <f t="shared" si="3"/>
        <v>-78.61572657840773</v>
      </c>
      <c r="J162" s="51">
        <f t="shared" si="4"/>
        <v>-82.69128042454008</v>
      </c>
      <c r="K162" s="91"/>
      <c r="L162" s="92"/>
      <c r="M162" s="63"/>
    </row>
    <row r="163" spans="1:13" ht="13.5">
      <c r="A163" s="87"/>
      <c r="B163" s="51">
        <v>40000</v>
      </c>
      <c r="C163" s="51">
        <f t="shared" si="5"/>
        <v>-6.274589171842671</v>
      </c>
      <c r="D163" s="51">
        <f t="shared" si="1"/>
        <v>-6.492383147387474</v>
      </c>
      <c r="E163" s="51">
        <f t="shared" si="2"/>
        <v>-12.766972319230145</v>
      </c>
      <c r="F163" s="51"/>
      <c r="G163" s="51">
        <v>40000</v>
      </c>
      <c r="H163" s="51">
        <f t="shared" si="6"/>
        <v>-2.549968686376566</v>
      </c>
      <c r="I163" s="51">
        <f t="shared" si="3"/>
        <v>-82.8177167615845</v>
      </c>
      <c r="J163" s="51">
        <f t="shared" si="4"/>
        <v>-85.36768544796107</v>
      </c>
      <c r="K163" s="92"/>
      <c r="L163" s="92"/>
      <c r="M163" s="63"/>
    </row>
    <row r="164" spans="1:13" ht="13.5">
      <c r="A164" s="87"/>
      <c r="B164" s="51">
        <v>63000</v>
      </c>
      <c r="C164" s="51">
        <f t="shared" si="5"/>
        <v>-6.27988494401286</v>
      </c>
      <c r="D164" s="51">
        <f t="shared" si="1"/>
        <v>-10.393020697063186</v>
      </c>
      <c r="E164" s="51">
        <f t="shared" si="2"/>
        <v>-16.672905641076046</v>
      </c>
      <c r="F164" s="51"/>
      <c r="G164" s="51">
        <v>63000</v>
      </c>
      <c r="H164" s="51">
        <f t="shared" si="6"/>
        <v>-1.6196969569964907</v>
      </c>
      <c r="I164" s="51">
        <f t="shared" si="3"/>
        <v>-85.42314955671003</v>
      </c>
      <c r="J164" s="51">
        <f t="shared" si="4"/>
        <v>-87.04284651370652</v>
      </c>
      <c r="K164" s="92"/>
      <c r="L164" s="92"/>
      <c r="M164" s="63"/>
    </row>
    <row r="165" spans="1:13" ht="13.5">
      <c r="A165" s="87"/>
      <c r="B165" s="51">
        <v>100000</v>
      </c>
      <c r="C165" s="51">
        <f t="shared" si="5"/>
        <v>-6.282043913448248</v>
      </c>
      <c r="D165" s="51">
        <f t="shared" si="1"/>
        <v>-14.387755683968496</v>
      </c>
      <c r="E165" s="51">
        <f t="shared" si="2"/>
        <v>-20.669799597416745</v>
      </c>
      <c r="F165" s="51"/>
      <c r="G165" s="51">
        <v>100000</v>
      </c>
      <c r="H165" s="51">
        <f t="shared" si="6"/>
        <v>-1.0205809928170535</v>
      </c>
      <c r="I165" s="51">
        <f t="shared" si="3"/>
        <v>-87.11226847753774</v>
      </c>
      <c r="J165" s="51">
        <f t="shared" si="4"/>
        <v>-88.1328494703548</v>
      </c>
      <c r="K165" s="92"/>
      <c r="L165" s="92"/>
      <c r="M165" s="63"/>
    </row>
    <row r="166" spans="1:13" ht="13.5">
      <c r="A166" s="87"/>
      <c r="B166" s="90"/>
      <c r="C166" s="90"/>
      <c r="D166" s="90"/>
      <c r="E166" s="90"/>
      <c r="F166" s="90"/>
      <c r="G166" s="90"/>
      <c r="H166" s="90"/>
      <c r="I166" s="90"/>
      <c r="J166" s="90"/>
      <c r="K166" s="92"/>
      <c r="L166" s="92"/>
      <c r="M166" s="63"/>
    </row>
    <row r="167" spans="1:13" ht="13.5">
      <c r="A167" s="87"/>
      <c r="B167" s="91"/>
      <c r="C167" s="91"/>
      <c r="D167" s="91"/>
      <c r="E167" s="91"/>
      <c r="F167" s="91"/>
      <c r="G167" s="91"/>
      <c r="H167" s="91"/>
      <c r="I167" s="91"/>
      <c r="J167" s="91"/>
      <c r="K167" s="92"/>
      <c r="L167" s="92"/>
      <c r="M167" s="63"/>
    </row>
    <row r="168" spans="1:13" ht="13.5">
      <c r="A168" s="87"/>
      <c r="B168" s="91"/>
      <c r="C168" s="91"/>
      <c r="D168" s="91"/>
      <c r="E168" s="91"/>
      <c r="F168" s="91"/>
      <c r="G168" s="91"/>
      <c r="H168" s="91"/>
      <c r="I168" s="91"/>
      <c r="J168" s="91"/>
      <c r="K168" s="92"/>
      <c r="L168" s="92"/>
      <c r="M168" s="63"/>
    </row>
    <row r="169" spans="2:13" ht="13.5">
      <c r="B169" s="91"/>
      <c r="C169" s="91"/>
      <c r="D169" s="91"/>
      <c r="E169" s="91"/>
      <c r="F169" s="91"/>
      <c r="G169" s="91"/>
      <c r="H169" s="91"/>
      <c r="I169" s="91"/>
      <c r="J169" s="91"/>
      <c r="K169" s="92"/>
      <c r="L169" s="92"/>
      <c r="M169" s="63"/>
    </row>
    <row r="170" spans="7:13" ht="13.5">
      <c r="G170" s="12"/>
      <c r="H170" s="12"/>
      <c r="I170" s="12"/>
      <c r="J170" s="12"/>
      <c r="K170" s="63"/>
      <c r="L170" s="63"/>
      <c r="M170" s="63"/>
    </row>
    <row r="171" spans="1:13" ht="13.5">
      <c r="A171" s="18"/>
      <c r="F171" s="18"/>
      <c r="G171" s="18"/>
      <c r="H171" s="18"/>
      <c r="I171" s="18"/>
      <c r="J171" s="18"/>
      <c r="K171" s="63"/>
      <c r="L171" s="63"/>
      <c r="M171" s="63"/>
    </row>
    <row r="172" spans="1:13" ht="13.5">
      <c r="A172" s="38"/>
      <c r="F172" s="38"/>
      <c r="G172" s="38"/>
      <c r="H172" s="38"/>
      <c r="I172" s="38"/>
      <c r="J172" s="51"/>
      <c r="K172" s="63"/>
      <c r="L172" s="63"/>
      <c r="M172" s="63"/>
    </row>
    <row r="173" spans="12:13" ht="13.5">
      <c r="L173" s="63"/>
      <c r="M173" s="63"/>
    </row>
    <row r="174" spans="12:13" ht="13.5">
      <c r="L174" s="63"/>
      <c r="M174" s="63"/>
    </row>
    <row r="175" spans="12:13" ht="13.5">
      <c r="L175" s="63"/>
      <c r="M175" s="63"/>
    </row>
    <row r="176" spans="12:13" ht="13.5">
      <c r="L176" s="63"/>
      <c r="M176" s="63"/>
    </row>
    <row r="177" spans="12:13" ht="13.5">
      <c r="L177" s="63"/>
      <c r="M177" s="63"/>
    </row>
    <row r="178" spans="12:13" ht="13.5">
      <c r="L178" s="63"/>
      <c r="M178" s="63"/>
    </row>
    <row r="179" spans="12:13" ht="13.5">
      <c r="L179" s="63"/>
      <c r="M179" s="63"/>
    </row>
    <row r="180" spans="12:13" ht="13.5">
      <c r="L180" s="63"/>
      <c r="M180" s="63"/>
    </row>
    <row r="181" spans="12:13" ht="13.5">
      <c r="L181" s="63"/>
      <c r="M181" s="63"/>
    </row>
    <row r="182" spans="12:13" ht="13.5">
      <c r="L182" s="63"/>
      <c r="M182" s="63"/>
    </row>
    <row r="183" spans="12:13" ht="13.5">
      <c r="L183" s="63"/>
      <c r="M183" s="63"/>
    </row>
    <row r="184" spans="12:13" ht="13.5">
      <c r="L184" s="63"/>
      <c r="M184" s="63"/>
    </row>
    <row r="185" spans="12:13" ht="13.5">
      <c r="L185" s="63"/>
      <c r="M185" s="63"/>
    </row>
    <row r="186" spans="1:13" ht="13.5">
      <c r="A186" s="18"/>
      <c r="F186" s="18"/>
      <c r="G186" s="18"/>
      <c r="H186" s="18"/>
      <c r="I186" s="18"/>
      <c r="J186" s="18"/>
      <c r="K186" s="63"/>
      <c r="L186" s="63"/>
      <c r="M186" s="63"/>
    </row>
    <row r="187" spans="1:13" ht="13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ht="13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ht="13.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13" ht="13.5">
      <c r="A190" s="64"/>
      <c r="B190" s="64"/>
      <c r="C190" s="64"/>
      <c r="D190" s="64"/>
      <c r="E190" s="64"/>
      <c r="F190" s="64"/>
      <c r="G190" s="64"/>
      <c r="H190" s="64"/>
      <c r="I190" s="64"/>
      <c r="J190" s="63"/>
      <c r="K190" s="63"/>
      <c r="L190" s="63"/>
      <c r="M190" s="63"/>
    </row>
    <row r="191" spans="1:13" ht="13.5">
      <c r="A191" s="64"/>
      <c r="B191" s="66"/>
      <c r="C191" s="66"/>
      <c r="D191" s="67"/>
      <c r="E191" s="64"/>
      <c r="F191" s="64"/>
      <c r="G191" s="64"/>
      <c r="H191" s="64"/>
      <c r="I191" s="64"/>
      <c r="J191" s="63"/>
      <c r="K191" s="63"/>
      <c r="L191" s="63"/>
      <c r="M191" s="63"/>
    </row>
    <row r="192" spans="1:13" ht="13.5">
      <c r="A192" s="64"/>
      <c r="B192" s="64"/>
      <c r="C192" s="64"/>
      <c r="D192" s="64"/>
      <c r="E192" s="64"/>
      <c r="F192" s="64"/>
      <c r="G192" s="64"/>
      <c r="H192" s="64"/>
      <c r="I192" s="64"/>
      <c r="J192" s="63"/>
      <c r="K192" s="63"/>
      <c r="L192" s="63"/>
      <c r="M192" s="63"/>
    </row>
    <row r="193" spans="1:13" ht="13.5">
      <c r="A193" s="64"/>
      <c r="B193" s="65"/>
      <c r="C193" s="65"/>
      <c r="D193" s="65"/>
      <c r="E193" s="65"/>
      <c r="F193" s="65"/>
      <c r="G193" s="65"/>
      <c r="H193" s="65"/>
      <c r="I193" s="65"/>
      <c r="J193" s="68"/>
      <c r="K193" s="63"/>
      <c r="L193" s="63"/>
      <c r="M193" s="63"/>
    </row>
    <row r="194" spans="1:13" ht="13.5">
      <c r="A194" s="69"/>
      <c r="B194" s="69"/>
      <c r="C194" s="69"/>
      <c r="D194" s="69"/>
      <c r="E194" s="69"/>
      <c r="F194" s="69"/>
      <c r="G194" s="69"/>
      <c r="H194" s="69"/>
      <c r="I194" s="69"/>
      <c r="J194" s="68"/>
      <c r="K194" s="63"/>
      <c r="L194" s="63"/>
      <c r="M194" s="63"/>
    </row>
    <row r="195" spans="1:13" ht="13.5">
      <c r="A195" s="69"/>
      <c r="B195" s="69"/>
      <c r="C195" s="69"/>
      <c r="D195" s="69"/>
      <c r="E195" s="69"/>
      <c r="F195" s="69"/>
      <c r="G195" s="69"/>
      <c r="H195" s="69"/>
      <c r="I195" s="69"/>
      <c r="J195" s="68"/>
      <c r="K195" s="63"/>
      <c r="L195" s="63"/>
      <c r="M195" s="63"/>
    </row>
    <row r="196" spans="1:13" ht="13.5">
      <c r="A196" s="70"/>
      <c r="B196" s="70"/>
      <c r="C196" s="70"/>
      <c r="D196" s="69"/>
      <c r="E196" s="70"/>
      <c r="F196" s="70"/>
      <c r="G196" s="70"/>
      <c r="H196" s="70"/>
      <c r="I196" s="69"/>
      <c r="J196" s="68"/>
      <c r="K196" s="63"/>
      <c r="L196" s="63"/>
      <c r="M196" s="63"/>
    </row>
    <row r="197" spans="1:13" ht="13.5">
      <c r="A197" s="70"/>
      <c r="B197" s="70"/>
      <c r="C197" s="70"/>
      <c r="D197" s="69"/>
      <c r="E197" s="70"/>
      <c r="F197" s="70"/>
      <c r="G197" s="70"/>
      <c r="H197" s="70"/>
      <c r="I197" s="69"/>
      <c r="J197" s="68"/>
      <c r="K197" s="63"/>
      <c r="L197" s="63"/>
      <c r="M197" s="63"/>
    </row>
    <row r="198" spans="1:13" ht="13.5">
      <c r="A198" s="70"/>
      <c r="B198" s="70"/>
      <c r="C198" s="70"/>
      <c r="D198" s="69"/>
      <c r="E198" s="70"/>
      <c r="F198" s="70"/>
      <c r="G198" s="70"/>
      <c r="H198" s="70"/>
      <c r="I198" s="69"/>
      <c r="J198" s="68"/>
      <c r="K198" s="63"/>
      <c r="L198" s="63"/>
      <c r="M198" s="63"/>
    </row>
    <row r="199" spans="1:13" ht="13.5">
      <c r="A199" s="70"/>
      <c r="B199" s="70"/>
      <c r="C199" s="70"/>
      <c r="D199" s="69"/>
      <c r="E199" s="70"/>
      <c r="F199" s="70"/>
      <c r="G199" s="70"/>
      <c r="H199" s="70"/>
      <c r="I199" s="69"/>
      <c r="J199" s="68"/>
      <c r="K199" s="63"/>
      <c r="L199" s="63"/>
      <c r="M199" s="63"/>
    </row>
    <row r="200" spans="1:13" ht="13.5">
      <c r="A200" s="70"/>
      <c r="B200" s="70"/>
      <c r="C200" s="70"/>
      <c r="D200" s="69"/>
      <c r="E200" s="70"/>
      <c r="F200" s="70"/>
      <c r="G200" s="70"/>
      <c r="H200" s="70"/>
      <c r="I200" s="69"/>
      <c r="J200" s="68"/>
      <c r="K200" s="63"/>
      <c r="L200" s="63"/>
      <c r="M200" s="63"/>
    </row>
    <row r="201" spans="1:13" ht="13.5">
      <c r="A201" s="70"/>
      <c r="B201" s="70"/>
      <c r="C201" s="70"/>
      <c r="D201" s="69"/>
      <c r="E201" s="70"/>
      <c r="F201" s="70"/>
      <c r="G201" s="70"/>
      <c r="H201" s="70"/>
      <c r="I201" s="69"/>
      <c r="J201" s="68"/>
      <c r="K201" s="63"/>
      <c r="L201" s="63"/>
      <c r="M201" s="63"/>
    </row>
    <row r="202" spans="1:13" ht="13.5">
      <c r="A202" s="70"/>
      <c r="B202" s="70"/>
      <c r="C202" s="70"/>
      <c r="D202" s="69"/>
      <c r="E202" s="70"/>
      <c r="F202" s="70"/>
      <c r="G202" s="70"/>
      <c r="H202" s="70"/>
      <c r="I202" s="69"/>
      <c r="J202" s="68"/>
      <c r="K202" s="63"/>
      <c r="L202" s="63"/>
      <c r="M202" s="63"/>
    </row>
    <row r="203" spans="1:13" ht="13.5">
      <c r="A203" s="70"/>
      <c r="B203" s="70"/>
      <c r="C203" s="70"/>
      <c r="D203" s="69"/>
      <c r="E203" s="70"/>
      <c r="F203" s="70"/>
      <c r="G203" s="70"/>
      <c r="H203" s="70"/>
      <c r="I203" s="69"/>
      <c r="J203" s="68"/>
      <c r="K203" s="63"/>
      <c r="L203" s="63"/>
      <c r="M203" s="63"/>
    </row>
    <row r="204" spans="1:13" ht="13.5">
      <c r="A204" s="70"/>
      <c r="B204" s="70"/>
      <c r="C204" s="70"/>
      <c r="D204" s="69"/>
      <c r="E204" s="70"/>
      <c r="F204" s="70"/>
      <c r="G204" s="70"/>
      <c r="H204" s="70"/>
      <c r="I204" s="69"/>
      <c r="J204" s="68"/>
      <c r="K204" s="63"/>
      <c r="L204" s="63"/>
      <c r="M204" s="63"/>
    </row>
    <row r="205" spans="1:13" ht="13.5">
      <c r="A205" s="70"/>
      <c r="B205" s="70"/>
      <c r="C205" s="70"/>
      <c r="D205" s="69"/>
      <c r="E205" s="70"/>
      <c r="F205" s="70"/>
      <c r="G205" s="70"/>
      <c r="H205" s="70"/>
      <c r="I205" s="69"/>
      <c r="J205" s="68"/>
      <c r="K205" s="63"/>
      <c r="L205" s="63"/>
      <c r="M205" s="63"/>
    </row>
    <row r="206" spans="1:13" ht="13.5">
      <c r="A206" s="70"/>
      <c r="B206" s="70"/>
      <c r="C206" s="70"/>
      <c r="D206" s="69"/>
      <c r="E206" s="70"/>
      <c r="F206" s="70"/>
      <c r="G206" s="70"/>
      <c r="H206" s="70"/>
      <c r="I206" s="69"/>
      <c r="J206" s="68"/>
      <c r="K206" s="63"/>
      <c r="L206" s="63"/>
      <c r="M206" s="63"/>
    </row>
    <row r="207" spans="1:13" ht="13.5">
      <c r="A207" s="70"/>
      <c r="B207" s="70"/>
      <c r="C207" s="70"/>
      <c r="D207" s="69"/>
      <c r="E207" s="70"/>
      <c r="F207" s="70"/>
      <c r="G207" s="70"/>
      <c r="H207" s="70"/>
      <c r="I207" s="69"/>
      <c r="J207" s="68"/>
      <c r="K207" s="63"/>
      <c r="L207" s="63"/>
      <c r="M207" s="63"/>
    </row>
    <row r="208" spans="1:13" ht="13.5">
      <c r="A208" s="70"/>
      <c r="B208" s="70"/>
      <c r="C208" s="70"/>
      <c r="D208" s="69"/>
      <c r="E208" s="70"/>
      <c r="F208" s="70"/>
      <c r="G208" s="70"/>
      <c r="H208" s="70"/>
      <c r="I208" s="69"/>
      <c r="J208" s="68"/>
      <c r="K208" s="63"/>
      <c r="L208" s="63"/>
      <c r="M208" s="63"/>
    </row>
    <row r="209" spans="1:13" ht="13.5">
      <c r="A209" s="70"/>
      <c r="B209" s="70"/>
      <c r="C209" s="70"/>
      <c r="D209" s="69"/>
      <c r="E209" s="70"/>
      <c r="F209" s="70"/>
      <c r="G209" s="70"/>
      <c r="H209" s="70"/>
      <c r="I209" s="69"/>
      <c r="J209" s="68"/>
      <c r="K209" s="63"/>
      <c r="L209" s="63"/>
      <c r="M209" s="63"/>
    </row>
    <row r="210" spans="1:13" ht="13.5">
      <c r="A210" s="70"/>
      <c r="B210" s="70"/>
      <c r="C210" s="70"/>
      <c r="D210" s="69"/>
      <c r="E210" s="70"/>
      <c r="F210" s="70"/>
      <c r="G210" s="70"/>
      <c r="H210" s="70"/>
      <c r="I210" s="69"/>
      <c r="J210" s="68"/>
      <c r="K210" s="63"/>
      <c r="L210" s="63"/>
      <c r="M210" s="63"/>
    </row>
    <row r="211" spans="1:13" ht="13.5">
      <c r="A211" s="70"/>
      <c r="B211" s="70"/>
      <c r="C211" s="70"/>
      <c r="D211" s="69"/>
      <c r="E211" s="70"/>
      <c r="F211" s="70"/>
      <c r="G211" s="70"/>
      <c r="H211" s="70"/>
      <c r="I211" s="69"/>
      <c r="J211" s="68"/>
      <c r="K211" s="63"/>
      <c r="L211" s="63"/>
      <c r="M211" s="63"/>
    </row>
    <row r="212" spans="1:13" ht="13.5">
      <c r="A212" s="70"/>
      <c r="B212" s="70"/>
      <c r="C212" s="70"/>
      <c r="D212" s="69"/>
      <c r="E212" s="70"/>
      <c r="F212" s="70"/>
      <c r="G212" s="70"/>
      <c r="H212" s="70"/>
      <c r="I212" s="69"/>
      <c r="J212" s="68"/>
      <c r="K212" s="63"/>
      <c r="L212" s="63"/>
      <c r="M212" s="63"/>
    </row>
    <row r="213" spans="1:13" ht="13.5">
      <c r="A213" s="70"/>
      <c r="B213" s="70"/>
      <c r="C213" s="70"/>
      <c r="D213" s="69"/>
      <c r="E213" s="70"/>
      <c r="F213" s="70"/>
      <c r="G213" s="70"/>
      <c r="H213" s="70"/>
      <c r="I213" s="69"/>
      <c r="J213" s="68"/>
      <c r="K213" s="63"/>
      <c r="L213" s="63"/>
      <c r="M213" s="63"/>
    </row>
    <row r="214" spans="1:13" ht="13.5">
      <c r="A214" s="70"/>
      <c r="B214" s="70"/>
      <c r="C214" s="70"/>
      <c r="D214" s="69"/>
      <c r="E214" s="70"/>
      <c r="F214" s="70"/>
      <c r="G214" s="70"/>
      <c r="H214" s="70"/>
      <c r="I214" s="69"/>
      <c r="J214" s="68"/>
      <c r="K214" s="63"/>
      <c r="L214" s="63"/>
      <c r="M214" s="63"/>
    </row>
    <row r="215" spans="1:13" ht="13.5">
      <c r="A215" s="70"/>
      <c r="B215" s="70"/>
      <c r="C215" s="70"/>
      <c r="D215" s="69"/>
      <c r="E215" s="70"/>
      <c r="F215" s="70"/>
      <c r="G215" s="70"/>
      <c r="H215" s="70"/>
      <c r="I215" s="69"/>
      <c r="J215" s="68"/>
      <c r="K215" s="63"/>
      <c r="L215" s="63"/>
      <c r="M215" s="63"/>
    </row>
    <row r="216" spans="1:13" ht="13.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3"/>
      <c r="L216" s="63"/>
      <c r="M216" s="63"/>
    </row>
    <row r="217" spans="1:13" ht="13.5">
      <c r="A217" s="63"/>
      <c r="B217" s="68"/>
      <c r="C217" s="68"/>
      <c r="D217" s="68"/>
      <c r="E217" s="68"/>
      <c r="F217" s="68"/>
      <c r="G217" s="68"/>
      <c r="H217" s="68"/>
      <c r="I217" s="68"/>
      <c r="J217" s="68"/>
      <c r="K217" s="63"/>
      <c r="L217" s="63"/>
      <c r="M217" s="63"/>
    </row>
    <row r="218" spans="1:13" ht="13.5">
      <c r="A218" s="63"/>
      <c r="B218" s="63"/>
      <c r="C218" s="68"/>
      <c r="D218" s="68"/>
      <c r="E218" s="68"/>
      <c r="F218" s="68"/>
      <c r="G218" s="68"/>
      <c r="H218" s="68"/>
      <c r="I218" s="68"/>
      <c r="J218" s="63"/>
      <c r="K218" s="63"/>
      <c r="L218" s="63"/>
      <c r="M218" s="63"/>
    </row>
    <row r="219" spans="1:13" ht="13.5">
      <c r="A219" s="63"/>
      <c r="B219" s="63"/>
      <c r="C219" s="68"/>
      <c r="D219" s="68"/>
      <c r="E219" s="68"/>
      <c r="F219" s="68"/>
      <c r="G219" s="68"/>
      <c r="H219" s="68"/>
      <c r="I219" s="68"/>
      <c r="J219" s="63"/>
      <c r="K219" s="63"/>
      <c r="L219" s="63"/>
      <c r="M219" s="63"/>
    </row>
    <row r="220" spans="1:13" ht="13.5">
      <c r="A220" s="63"/>
      <c r="B220" s="63"/>
      <c r="C220" s="68"/>
      <c r="D220" s="68"/>
      <c r="E220" s="68"/>
      <c r="F220" s="68"/>
      <c r="G220" s="68"/>
      <c r="H220" s="65"/>
      <c r="I220" s="68"/>
      <c r="J220" s="63"/>
      <c r="K220" s="63"/>
      <c r="L220" s="63"/>
      <c r="M220" s="63"/>
    </row>
    <row r="221" spans="1:13" ht="13.5">
      <c r="A221" s="63"/>
      <c r="B221" s="63"/>
      <c r="C221" s="68"/>
      <c r="D221" s="71"/>
      <c r="E221" s="71"/>
      <c r="F221" s="71"/>
      <c r="G221" s="71"/>
      <c r="H221" s="65"/>
      <c r="I221" s="68"/>
      <c r="J221" s="63"/>
      <c r="K221" s="63"/>
      <c r="L221" s="63"/>
      <c r="M221" s="63"/>
    </row>
    <row r="222" spans="1:13" ht="13.5">
      <c r="A222" s="63"/>
      <c r="B222" s="63"/>
      <c r="C222" s="68"/>
      <c r="D222" s="68"/>
      <c r="E222" s="68"/>
      <c r="F222" s="68"/>
      <c r="G222" s="68"/>
      <c r="H222" s="68"/>
      <c r="I222" s="68"/>
      <c r="J222" s="63"/>
      <c r="K222" s="63"/>
      <c r="L222" s="63"/>
      <c r="M222" s="63"/>
    </row>
    <row r="223" spans="1:13" ht="13.5">
      <c r="A223" s="63"/>
      <c r="B223" s="63"/>
      <c r="C223" s="68"/>
      <c r="D223" s="68"/>
      <c r="E223" s="68"/>
      <c r="F223" s="68"/>
      <c r="G223" s="68"/>
      <c r="H223" s="68"/>
      <c r="I223" s="68"/>
      <c r="J223" s="63"/>
      <c r="K223" s="63"/>
      <c r="L223" s="63"/>
      <c r="M223" s="63"/>
    </row>
    <row r="224" spans="1:13" ht="13.5">
      <c r="A224" s="63"/>
      <c r="B224" s="63"/>
      <c r="C224" s="68"/>
      <c r="D224" s="68"/>
      <c r="E224" s="68"/>
      <c r="F224" s="68"/>
      <c r="G224" s="68"/>
      <c r="H224" s="68"/>
      <c r="I224" s="68"/>
      <c r="J224" s="63"/>
      <c r="K224" s="63"/>
      <c r="L224" s="63"/>
      <c r="M224" s="63"/>
    </row>
    <row r="225" spans="1:13" ht="13.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1:13" ht="13.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1:13" ht="13.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ht="13.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1:13" ht="13.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1:13" ht="13.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1:13" ht="13.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1:13" ht="13.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3.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ht="13.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1:13" ht="13.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3" ht="13.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1:13" ht="13.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1:13" ht="13.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1:13" ht="13.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1:13" ht="13.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1:13" ht="13.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1:13" ht="13.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3.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3.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3.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3.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 ht="13.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3.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1:13" ht="13.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1:13" ht="13.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3.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3.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ht="13.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1:13" ht="13.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1:13" ht="13.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1:13" ht="13.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1:13" ht="13.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1:13" ht="13.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3.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1:13" ht="13.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1:13" ht="13.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3.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ht="13.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ht="13.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1:13" ht="13.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1:13" ht="13.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1:13" ht="13.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1:13" ht="13.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1:13" ht="13.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1:13" ht="13.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1:13" ht="13.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ht="13.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1:13" ht="13.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1:13" ht="13.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1:13" ht="13.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1:13" ht="13.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3.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1:13" ht="13.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1:13" ht="13.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1:13" ht="13.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1:13" ht="13.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3.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1:13" ht="13.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3.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3.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3.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1:13" ht="13.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3.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3.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ht="13.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1:13" ht="13.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3.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1:13" ht="13.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ht="13.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1:13" ht="13.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13.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1:13" ht="13.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1:13" ht="13.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1:13" ht="13.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1:13" ht="13.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1:13" ht="13.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1:13" ht="13.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1:13" ht="13.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1:13" ht="13.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3.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ht="13.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1:13" ht="13.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1:13" ht="13.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1:13" ht="13.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1:13" ht="13.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3.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1:13" ht="13.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1:13" ht="13.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1:13" ht="13.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1:13" ht="13.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1:13" ht="13.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3.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1:13" ht="13.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1:13" ht="13.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3.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1:13" ht="13.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1:13" ht="13.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1:13" ht="13.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1:13" ht="13.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1:13" ht="13.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1:13" ht="13.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1:13" ht="13.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1:13" ht="13.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1:13" ht="13.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1:13" ht="13.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1:13" ht="13.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1:13" ht="13.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1:13" ht="13.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1:13" ht="13.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3.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3.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3.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1:13" ht="13.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1:13" ht="13.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1:13" ht="13.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1:13" ht="13.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1:13" ht="13.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1:13" ht="13.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1:13" ht="13.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1:13" ht="13.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1:13" ht="13.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1:13" ht="13.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3.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1:13" ht="13.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1:13" ht="13.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1:13" ht="13.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1:13" ht="13.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1:13" ht="13.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1:13" ht="13.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1:13" ht="13.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ht="13.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1:13" ht="13.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1:13" ht="13.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1:13" ht="13.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1:13" ht="13.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1:13" ht="13.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1:13" ht="13.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3.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1:13" ht="13.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1:13" ht="13.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1:13" ht="13.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1:13" ht="13.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1:13" ht="13.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1:13" ht="13.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1:13" ht="13.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1:13" ht="13.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1:13" ht="13.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1:13" ht="13.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1:13" ht="13.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1:13" ht="13.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1:13" ht="13.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1:13" ht="13.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ht="13.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1:13" ht="13.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3.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1:13" ht="13.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1:13" ht="13.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1:13" ht="13.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1:13" ht="13.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1:13" ht="13.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1:13" ht="13.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1:13" ht="13.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1:13" ht="13.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3.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1:13" ht="13.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3.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1:13" ht="13.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1:13" ht="13.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1:13" ht="13.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1:13" ht="13.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1:13" ht="13.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1:13" ht="13.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1:13" ht="13.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1:13" ht="13.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1:13" ht="13.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1:13" ht="13.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1:13" ht="13.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1:13" ht="13.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1:13" ht="13.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1:13" ht="13.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1:13" ht="13.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1:13" ht="13.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1:13" ht="13.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1:13" ht="13.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1:13" ht="13.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1:13" ht="13.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1:13" ht="13.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1:13" ht="13.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1:13" ht="13.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3.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1:13" ht="13.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1:13" ht="13.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1:13" ht="13.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1:13" ht="13.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1:13" ht="13.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1:13" ht="13.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1:13" ht="13.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1:13" ht="13.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3.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1:13" ht="13.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</row>
    <row r="426" spans="11:13" ht="13.5">
      <c r="K426" s="63"/>
      <c r="L426" s="63"/>
      <c r="M426" s="63"/>
    </row>
    <row r="427" spans="11:13" ht="13.5">
      <c r="K427" s="63"/>
      <c r="L427" s="63"/>
      <c r="M427" s="63"/>
    </row>
    <row r="428" spans="12:13" ht="13.5">
      <c r="L428" s="63"/>
      <c r="M428" s="63"/>
    </row>
    <row r="429" spans="12:13" ht="13.5">
      <c r="L429" s="63"/>
      <c r="M429" s="63"/>
    </row>
    <row r="430" spans="12:13" ht="13.5">
      <c r="L430" s="63"/>
      <c r="M430" s="63"/>
    </row>
    <row r="431" spans="12:13" ht="13.5">
      <c r="L431" s="63"/>
      <c r="M431" s="63"/>
    </row>
  </sheetData>
  <sheetProtection password="CD1C" sheet="1" objects="1" scenarios="1" selectLockedCells="1"/>
  <mergeCells count="14">
    <mergeCell ref="C115:D116"/>
    <mergeCell ref="I98:J98"/>
    <mergeCell ref="I99:J99"/>
    <mergeCell ref="I97:J97"/>
    <mergeCell ref="I96:J96"/>
    <mergeCell ref="C1:H2"/>
    <mergeCell ref="I76:J76"/>
    <mergeCell ref="I77:J77"/>
    <mergeCell ref="I78:J78"/>
    <mergeCell ref="E30:F30"/>
    <mergeCell ref="I72:J72"/>
    <mergeCell ref="I73:J73"/>
    <mergeCell ref="I74:J74"/>
    <mergeCell ref="I75:J75"/>
  </mergeCells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594064" r:id="rId3"/>
    <oleObject progId="Visio.Drawing.6" shapeId="19063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zoomScalePageLayoutView="0" workbookViewId="0" topLeftCell="A1">
      <selection activeCell="C143" activeCellId="25" sqref="G14:I17 C18 C20 C24:C26 F30:G30 C31 C35:C36 C51 C53 C59:C62 I58:I63 C66 G71:J76 C77 C79 C85:C86 C88:C90 E87:E90 G95:I98 C99 C101 C106:G110 G116:I119 C124:C128 C131:C133 C143:C145"/>
    </sheetView>
  </sheetViews>
  <sheetFormatPr defaultColWidth="8.88671875" defaultRowHeight="13.5"/>
  <cols>
    <col min="1" max="1" width="3.5546875" style="0" customWidth="1"/>
    <col min="2" max="2" width="31.99609375" style="0" customWidth="1"/>
    <col min="3" max="3" width="8.21484375" style="0" customWidth="1"/>
    <col min="4" max="4" width="4.4453125" style="0" customWidth="1"/>
    <col min="5" max="5" width="3.77734375" style="0" customWidth="1"/>
    <col min="6" max="6" width="3.21484375" style="0" customWidth="1"/>
    <col min="7" max="7" width="5.4453125" style="0" customWidth="1"/>
    <col min="8" max="8" width="2.3359375" style="0" customWidth="1"/>
    <col min="9" max="9" width="5.77734375" style="0" customWidth="1"/>
    <col min="10" max="10" width="2.4453125" style="0" customWidth="1"/>
    <col min="11" max="11" width="5.10546875" style="0" customWidth="1"/>
    <col min="12" max="12" width="12.6640625" style="0" bestFit="1" customWidth="1"/>
  </cols>
  <sheetData>
    <row r="1" spans="2:9" ht="13.5">
      <c r="B1" s="4"/>
      <c r="C1" s="281" t="s">
        <v>180</v>
      </c>
      <c r="D1" s="282"/>
      <c r="E1" s="282"/>
      <c r="F1" s="282"/>
      <c r="G1" s="282"/>
      <c r="H1" s="283"/>
      <c r="I1" s="4"/>
    </row>
    <row r="2" spans="1:9" ht="13.5">
      <c r="A2" s="4"/>
      <c r="B2" s="4"/>
      <c r="C2" s="283"/>
      <c r="D2" s="283"/>
      <c r="E2" s="283"/>
      <c r="F2" s="283"/>
      <c r="G2" s="283"/>
      <c r="H2" s="283"/>
      <c r="I2" s="4" t="s">
        <v>181</v>
      </c>
    </row>
    <row r="3" spans="1:9" ht="14.25">
      <c r="A3" s="4"/>
      <c r="B3" s="4"/>
      <c r="C3" s="76" t="s">
        <v>211</v>
      </c>
      <c r="D3" s="76"/>
      <c r="E3" s="76"/>
      <c r="F3" s="76"/>
      <c r="G3" s="76"/>
      <c r="H3" s="76"/>
      <c r="I3" s="77"/>
    </row>
    <row r="4" ht="13.5">
      <c r="I4" s="4"/>
    </row>
    <row r="5" spans="3:8" ht="13.5">
      <c r="C5" s="5" t="s">
        <v>182</v>
      </c>
      <c r="D5" s="15" t="s">
        <v>0</v>
      </c>
      <c r="E5" s="15"/>
      <c r="F5" s="15"/>
      <c r="G5" s="15"/>
      <c r="H5" s="4"/>
    </row>
    <row r="6" spans="3:8" ht="13.5">
      <c r="C6" s="6" t="s">
        <v>183</v>
      </c>
      <c r="D6" s="15" t="s">
        <v>11</v>
      </c>
      <c r="E6" s="15"/>
      <c r="F6" s="15"/>
      <c r="G6" s="15"/>
      <c r="H6" s="4"/>
    </row>
    <row r="7" ht="13.5">
      <c r="I7" s="4"/>
    </row>
    <row r="8" spans="1:9" ht="13.5">
      <c r="A8" s="13" t="s">
        <v>30</v>
      </c>
      <c r="B8" s="19"/>
      <c r="C8" s="19"/>
      <c r="D8" s="19"/>
      <c r="E8" s="19"/>
      <c r="F8" s="19"/>
      <c r="G8" s="19"/>
      <c r="H8" s="19"/>
      <c r="I8" s="19"/>
    </row>
    <row r="9" spans="1:9" ht="13.5">
      <c r="A9" s="4"/>
      <c r="B9" s="8" t="s">
        <v>111</v>
      </c>
      <c r="C9" s="17">
        <v>180</v>
      </c>
      <c r="D9" s="9" t="s">
        <v>74</v>
      </c>
      <c r="G9" s="4"/>
      <c r="H9" s="4"/>
      <c r="I9" s="4"/>
    </row>
    <row r="10" spans="2:6" ht="13.5">
      <c r="B10" s="8" t="s">
        <v>112</v>
      </c>
      <c r="C10" s="17">
        <v>265</v>
      </c>
      <c r="D10" s="9" t="s">
        <v>74</v>
      </c>
      <c r="E10" s="11"/>
      <c r="F10" s="11"/>
    </row>
    <row r="11" spans="2:14" ht="13.5">
      <c r="B11" s="10" t="s">
        <v>113</v>
      </c>
      <c r="C11" s="17">
        <v>60</v>
      </c>
      <c r="D11" s="11" t="s">
        <v>4</v>
      </c>
      <c r="N11" s="45"/>
    </row>
    <row r="12" ht="13.5">
      <c r="N12" s="45"/>
    </row>
    <row r="13" spans="2:14" ht="13.5">
      <c r="B13" s="21"/>
      <c r="C13" s="22" t="s">
        <v>40</v>
      </c>
      <c r="D13" s="21"/>
      <c r="E13" s="22" t="s">
        <v>108</v>
      </c>
      <c r="F13" s="21"/>
      <c r="G13" s="22" t="s">
        <v>184</v>
      </c>
      <c r="H13" s="22"/>
      <c r="I13" s="22" t="s">
        <v>110</v>
      </c>
      <c r="N13" s="45"/>
    </row>
    <row r="14" spans="2:14" ht="13.5">
      <c r="B14" s="10" t="s">
        <v>185</v>
      </c>
      <c r="C14" s="17">
        <v>5</v>
      </c>
      <c r="D14" s="11" t="s">
        <v>3</v>
      </c>
      <c r="E14" s="17">
        <v>15</v>
      </c>
      <c r="F14" s="11" t="s">
        <v>22</v>
      </c>
      <c r="G14" s="99">
        <f>C14*E14</f>
        <v>75</v>
      </c>
      <c r="H14" s="269" t="s">
        <v>5</v>
      </c>
      <c r="I14" s="99">
        <f>G14/C$18*100</f>
        <v>41.66666666666667</v>
      </c>
      <c r="J14" s="3" t="s">
        <v>6</v>
      </c>
      <c r="N14" s="45"/>
    </row>
    <row r="15" spans="2:14" ht="13.5">
      <c r="B15" s="10" t="s">
        <v>186</v>
      </c>
      <c r="C15" s="17">
        <v>3.3</v>
      </c>
      <c r="D15" s="11" t="s">
        <v>3</v>
      </c>
      <c r="E15" s="17">
        <v>10</v>
      </c>
      <c r="F15" s="11" t="s">
        <v>22</v>
      </c>
      <c r="G15" s="99">
        <f>C15*E15</f>
        <v>33</v>
      </c>
      <c r="H15" s="269" t="s">
        <v>5</v>
      </c>
      <c r="I15" s="99">
        <f>G15/C$18*100</f>
        <v>18.333333333333332</v>
      </c>
      <c r="J15" s="3" t="s">
        <v>6</v>
      </c>
      <c r="N15" s="45"/>
    </row>
    <row r="16" spans="2:14" ht="13.5">
      <c r="B16" s="10" t="s">
        <v>187</v>
      </c>
      <c r="C16" s="17">
        <v>12</v>
      </c>
      <c r="D16" s="11" t="s">
        <v>3</v>
      </c>
      <c r="E16" s="17">
        <v>6</v>
      </c>
      <c r="F16" s="11" t="s">
        <v>22</v>
      </c>
      <c r="G16" s="99">
        <f>C16*E16</f>
        <v>72</v>
      </c>
      <c r="H16" s="269" t="s">
        <v>5</v>
      </c>
      <c r="I16" s="99">
        <f>G16/C$18*100</f>
        <v>40</v>
      </c>
      <c r="J16" s="3" t="s">
        <v>6</v>
      </c>
      <c r="N16" s="45"/>
    </row>
    <row r="17" spans="2:14" ht="13.5">
      <c r="B17" s="10" t="s">
        <v>188</v>
      </c>
      <c r="C17" s="17">
        <v>0</v>
      </c>
      <c r="D17" s="11" t="s">
        <v>3</v>
      </c>
      <c r="E17" s="17">
        <v>0</v>
      </c>
      <c r="F17" s="11" t="s">
        <v>22</v>
      </c>
      <c r="G17" s="99">
        <f>C17*E17</f>
        <v>0</v>
      </c>
      <c r="H17" s="269" t="s">
        <v>5</v>
      </c>
      <c r="I17" s="99">
        <f>G17/C$18*100</f>
        <v>0</v>
      </c>
      <c r="J17" s="3" t="s">
        <v>6</v>
      </c>
      <c r="N17" s="45"/>
    </row>
    <row r="18" spans="2:14" ht="13.5">
      <c r="B18" s="3" t="s">
        <v>96</v>
      </c>
      <c r="C18" s="100">
        <f>SUM(G14:G17)</f>
        <v>180</v>
      </c>
      <c r="D18" s="3" t="s">
        <v>5</v>
      </c>
      <c r="N18" s="45"/>
    </row>
    <row r="19" spans="2:14" ht="13.5">
      <c r="B19" s="10" t="s">
        <v>114</v>
      </c>
      <c r="C19" s="17">
        <v>70</v>
      </c>
      <c r="D19" s="11" t="s">
        <v>6</v>
      </c>
      <c r="N19" s="45"/>
    </row>
    <row r="20" spans="2:14" ht="13.5">
      <c r="B20" s="3" t="s">
        <v>97</v>
      </c>
      <c r="C20" s="100">
        <f>Po/Eff</f>
        <v>257.14285714285717</v>
      </c>
      <c r="D20" s="3" t="s">
        <v>5</v>
      </c>
      <c r="N20" s="45"/>
    </row>
    <row r="21" ht="13.5">
      <c r="N21" s="45"/>
    </row>
    <row r="22" spans="1:14" ht="13.5">
      <c r="A22" s="14" t="s">
        <v>142</v>
      </c>
      <c r="B22" s="14"/>
      <c r="C22" s="14"/>
      <c r="D22" s="14"/>
      <c r="E22" s="14"/>
      <c r="F22" s="14"/>
      <c r="G22" s="14"/>
      <c r="H22" s="14"/>
      <c r="I22" s="14"/>
      <c r="N22" s="45"/>
    </row>
    <row r="23" spans="2:14" ht="13.5">
      <c r="B23" s="10" t="s">
        <v>15</v>
      </c>
      <c r="C23" s="17">
        <v>235</v>
      </c>
      <c r="D23" s="11" t="s">
        <v>62</v>
      </c>
      <c r="N23" s="45"/>
    </row>
    <row r="24" spans="2:14" ht="13.5">
      <c r="B24" s="3" t="s">
        <v>7</v>
      </c>
      <c r="C24" s="99">
        <f>Pin*0.8/(SQRT(2)*V_line_min*2*fL*Cdc)</f>
        <v>28.656809774530807</v>
      </c>
      <c r="D24" s="3" t="s">
        <v>3</v>
      </c>
      <c r="N24" s="45"/>
    </row>
    <row r="25" spans="2:14" ht="13.5">
      <c r="B25" s="3" t="s">
        <v>8</v>
      </c>
      <c r="C25" s="99">
        <f>SQRT(2)*V_line_min-C24</f>
        <v>225.9016314526263</v>
      </c>
      <c r="D25" s="3" t="s">
        <v>3</v>
      </c>
      <c r="N25" s="45"/>
    </row>
    <row r="26" spans="2:14" ht="13.5">
      <c r="B26" s="3" t="s">
        <v>143</v>
      </c>
      <c r="C26" s="99">
        <f>SQRT(2)*V_line_max</f>
        <v>374.7665940288702</v>
      </c>
      <c r="D26" s="3" t="s">
        <v>3</v>
      </c>
      <c r="N26" s="45"/>
    </row>
    <row r="27" ht="13.5">
      <c r="N27" s="45"/>
    </row>
    <row r="28" spans="1:14" ht="13.5">
      <c r="A28" s="14" t="s">
        <v>145</v>
      </c>
      <c r="B28" s="14"/>
      <c r="C28" s="14"/>
      <c r="D28" s="14"/>
      <c r="E28" s="14"/>
      <c r="F28" s="14"/>
      <c r="G28" s="14"/>
      <c r="H28" s="14"/>
      <c r="I28" s="14"/>
      <c r="N28" s="45"/>
    </row>
    <row r="29" spans="2:14" ht="13.5">
      <c r="B29" s="10" t="s">
        <v>189</v>
      </c>
      <c r="C29" s="17">
        <v>0.4</v>
      </c>
      <c r="D29" s="11"/>
      <c r="F29" s="2"/>
      <c r="N29" s="45"/>
    </row>
    <row r="30" spans="2:14" ht="13.5">
      <c r="B30" s="10" t="s">
        <v>212</v>
      </c>
      <c r="C30" s="17">
        <v>300</v>
      </c>
      <c r="D30" s="11" t="s">
        <v>3</v>
      </c>
      <c r="E30" t="s">
        <v>147</v>
      </c>
      <c r="F30" s="284">
        <f>Vdc_min*Dmax/(1-Dmax)</f>
        <v>150.6010876350842</v>
      </c>
      <c r="G30" s="282"/>
      <c r="H30" s="3" t="s">
        <v>3</v>
      </c>
      <c r="N30" s="45"/>
    </row>
    <row r="31" spans="2:14" ht="13.5">
      <c r="B31" s="3" t="s">
        <v>141</v>
      </c>
      <c r="C31" s="99">
        <f>Vdc_max+Vsn</f>
        <v>674.7665940288703</v>
      </c>
      <c r="D31" s="3" t="s">
        <v>3</v>
      </c>
      <c r="N31" s="45"/>
    </row>
    <row r="32" spans="2:14" ht="13.5">
      <c r="B32" s="79"/>
      <c r="C32" s="80"/>
      <c r="D32" s="79"/>
      <c r="N32" s="45"/>
    </row>
    <row r="33" spans="1:14" ht="13.5">
      <c r="A33" s="14" t="s">
        <v>148</v>
      </c>
      <c r="B33" s="14"/>
      <c r="C33" s="14"/>
      <c r="D33" s="14"/>
      <c r="E33" s="14"/>
      <c r="F33" s="14"/>
      <c r="G33" s="14"/>
      <c r="H33" s="14"/>
      <c r="I33" s="14"/>
      <c r="N33" s="45"/>
    </row>
    <row r="34" spans="2:14" ht="13.5">
      <c r="B34" s="10" t="s">
        <v>177</v>
      </c>
      <c r="C34" s="17">
        <v>0.15</v>
      </c>
      <c r="N34" s="45"/>
    </row>
    <row r="35" spans="2:14" ht="13.5">
      <c r="B35" s="3" t="s">
        <v>14</v>
      </c>
      <c r="C35" s="101">
        <f>Pin/(Vdc_min*Dmax)*(1+KRF)</f>
        <v>3.2726001557928077</v>
      </c>
      <c r="D35" s="3" t="s">
        <v>22</v>
      </c>
      <c r="N35" s="45"/>
    </row>
    <row r="36" spans="2:14" ht="13.5">
      <c r="B36" s="3" t="s">
        <v>190</v>
      </c>
      <c r="C36" s="101">
        <f>Pin/(Vdc_min*Dmax)*SQRT((3+KRF^2)*Dmax/3)</f>
        <v>1.8065401970944508</v>
      </c>
      <c r="D36" s="3" t="s">
        <v>22</v>
      </c>
      <c r="N36" s="45"/>
    </row>
    <row r="37" spans="2:14" ht="13.5">
      <c r="B37" s="10" t="s">
        <v>179</v>
      </c>
      <c r="C37" s="17">
        <v>4</v>
      </c>
      <c r="D37" s="11" t="s">
        <v>22</v>
      </c>
      <c r="N37" s="45"/>
    </row>
    <row r="38" ht="13.5">
      <c r="N38" s="45"/>
    </row>
    <row r="39" ht="13.5">
      <c r="N39" s="45"/>
    </row>
    <row r="40" ht="13.5">
      <c r="N40" s="45"/>
    </row>
    <row r="41" ht="13.5">
      <c r="N41" s="45"/>
    </row>
    <row r="42" ht="13.5">
      <c r="N42" s="45"/>
    </row>
    <row r="43" ht="13.5">
      <c r="N43" s="45"/>
    </row>
    <row r="44" ht="13.5">
      <c r="N44" s="45"/>
    </row>
    <row r="45" ht="13.5">
      <c r="N45" s="45"/>
    </row>
    <row r="46" ht="13.5">
      <c r="N46" s="45"/>
    </row>
    <row r="47" ht="13.5">
      <c r="N47" s="45"/>
    </row>
    <row r="48" spans="1:14" ht="13.5">
      <c r="A48" s="14" t="s">
        <v>150</v>
      </c>
      <c r="B48" s="14"/>
      <c r="C48" s="14"/>
      <c r="D48" s="14"/>
      <c r="E48" s="14"/>
      <c r="F48" s="14"/>
      <c r="G48" s="14"/>
      <c r="H48" s="14"/>
      <c r="I48" s="14"/>
      <c r="N48" s="45"/>
    </row>
    <row r="49" spans="2:14" ht="13.5">
      <c r="B49" s="10" t="s">
        <v>191</v>
      </c>
      <c r="C49" s="17">
        <v>67</v>
      </c>
      <c r="D49" s="11" t="s">
        <v>192</v>
      </c>
      <c r="E49" s="11"/>
      <c r="F49" s="11"/>
      <c r="G49" s="11"/>
      <c r="N49" s="45"/>
    </row>
    <row r="50" spans="2:14" ht="13.5">
      <c r="B50" s="10" t="s">
        <v>138</v>
      </c>
      <c r="C50" s="46">
        <v>0.32</v>
      </c>
      <c r="D50" s="11" t="s">
        <v>36</v>
      </c>
      <c r="K50" s="11"/>
      <c r="N50" s="45"/>
    </row>
    <row r="51" spans="2:14" ht="15.75">
      <c r="B51" s="7" t="s">
        <v>16</v>
      </c>
      <c r="C51" s="99">
        <f>(11.1*Pin/0.141/Bmax/fs)^1.31*10000</f>
        <v>9275.133104649303</v>
      </c>
      <c r="D51" s="3" t="s">
        <v>17</v>
      </c>
      <c r="N51" s="45"/>
    </row>
    <row r="52" spans="2:14" ht="15.75">
      <c r="B52" s="10" t="s">
        <v>98</v>
      </c>
      <c r="C52" s="17">
        <v>86</v>
      </c>
      <c r="D52" s="11" t="s">
        <v>34</v>
      </c>
      <c r="N52" s="45"/>
    </row>
    <row r="53" spans="2:14" ht="13.5">
      <c r="B53" s="7" t="s">
        <v>193</v>
      </c>
      <c r="C53" s="100">
        <f>Vdc_min*Dmax/Ae/fs/Bmax*1000000</f>
        <v>49.00677530645313</v>
      </c>
      <c r="D53" s="3" t="s">
        <v>36</v>
      </c>
      <c r="E53" s="18"/>
      <c r="N53" s="45"/>
    </row>
    <row r="54" spans="2:14" ht="13.5">
      <c r="B54" s="3"/>
      <c r="C54" s="80"/>
      <c r="D54" s="3"/>
      <c r="N54" s="45"/>
    </row>
    <row r="55" spans="1:14" ht="13.5">
      <c r="A55" s="14" t="s">
        <v>39</v>
      </c>
      <c r="B55" s="14"/>
      <c r="C55" s="14"/>
      <c r="D55" s="14"/>
      <c r="E55" s="14"/>
      <c r="F55" s="14"/>
      <c r="G55" s="14"/>
      <c r="H55" s="14"/>
      <c r="I55" s="14"/>
      <c r="N55" s="45"/>
    </row>
    <row r="56" ht="13.5">
      <c r="N56" s="45"/>
    </row>
    <row r="57" spans="2:14" ht="13.5">
      <c r="B57" s="21"/>
      <c r="C57" s="22" t="s">
        <v>40</v>
      </c>
      <c r="D57" s="21"/>
      <c r="E57" s="22" t="s">
        <v>41</v>
      </c>
      <c r="F57" s="21"/>
      <c r="G57" s="21"/>
      <c r="H57" s="22" t="s">
        <v>194</v>
      </c>
      <c r="I57" s="22"/>
      <c r="J57" s="22"/>
      <c r="N57" s="45"/>
    </row>
    <row r="58" spans="2:14" ht="13.5">
      <c r="B58" s="7" t="s">
        <v>195</v>
      </c>
      <c r="C58" s="17">
        <v>15</v>
      </c>
      <c r="D58" s="11" t="s">
        <v>3</v>
      </c>
      <c r="E58" s="17">
        <v>1.2</v>
      </c>
      <c r="F58" s="11" t="s">
        <v>3</v>
      </c>
      <c r="G58" s="24">
        <f>Np*(Vcc+VFC)/Vsn</f>
        <v>2.7108195774315154</v>
      </c>
      <c r="H58" s="23" t="s">
        <v>42</v>
      </c>
      <c r="I58" s="271">
        <f>ROUND(G58,0)</f>
        <v>3</v>
      </c>
      <c r="J58" s="3" t="s">
        <v>36</v>
      </c>
      <c r="N58" s="45"/>
    </row>
    <row r="59" spans="2:14" ht="13.5">
      <c r="B59" s="7" t="s">
        <v>185</v>
      </c>
      <c r="C59" s="270">
        <f>Vo1</f>
        <v>5</v>
      </c>
      <c r="D59" s="11" t="s">
        <v>3</v>
      </c>
      <c r="E59" s="17">
        <v>0.4</v>
      </c>
      <c r="F59" s="11" t="s">
        <v>3</v>
      </c>
      <c r="G59" s="20">
        <v>3</v>
      </c>
      <c r="H59" s="23" t="s">
        <v>42</v>
      </c>
      <c r="I59" s="271">
        <f>ROUND(G59,0)</f>
        <v>3</v>
      </c>
      <c r="J59" s="3" t="s">
        <v>36</v>
      </c>
      <c r="N59" s="45"/>
    </row>
    <row r="60" spans="2:14" ht="13.5">
      <c r="B60" s="7" t="s">
        <v>186</v>
      </c>
      <c r="C60" s="270">
        <f>Vo2</f>
        <v>3.3</v>
      </c>
      <c r="D60" s="11" t="s">
        <v>3</v>
      </c>
      <c r="E60" s="17">
        <v>0.4</v>
      </c>
      <c r="F60" s="11" t="s">
        <v>3</v>
      </c>
      <c r="G60" s="24">
        <f>Ns1*(Vo2+VF2)/(Vo1+VF1)</f>
        <v>2.0555555555555554</v>
      </c>
      <c r="H60" s="23" t="s">
        <v>42</v>
      </c>
      <c r="I60" s="271">
        <f>ROUND(G60,0)</f>
        <v>2</v>
      </c>
      <c r="J60" s="3" t="s">
        <v>36</v>
      </c>
      <c r="N60" s="45"/>
    </row>
    <row r="61" spans="2:14" ht="13.5">
      <c r="B61" s="7" t="s">
        <v>187</v>
      </c>
      <c r="C61" s="270">
        <f>Vo3</f>
        <v>12</v>
      </c>
      <c r="D61" s="11" t="s">
        <v>3</v>
      </c>
      <c r="E61" s="17">
        <v>1</v>
      </c>
      <c r="F61" s="11" t="s">
        <v>3</v>
      </c>
      <c r="G61" s="24">
        <f>Ns1*(Vo3+VF3)/(Vo1+VF1)</f>
        <v>7.222222222222221</v>
      </c>
      <c r="H61" s="23" t="s">
        <v>42</v>
      </c>
      <c r="I61" s="271">
        <f>ROUND(G61,0)</f>
        <v>7</v>
      </c>
      <c r="J61" s="3" t="s">
        <v>36</v>
      </c>
      <c r="N61" s="45"/>
    </row>
    <row r="62" spans="2:14" ht="13.5">
      <c r="B62" s="7" t="s">
        <v>188</v>
      </c>
      <c r="C62" s="270">
        <f>Vo4</f>
        <v>0</v>
      </c>
      <c r="D62" s="11" t="s">
        <v>3</v>
      </c>
      <c r="E62" s="17">
        <v>0</v>
      </c>
      <c r="F62" s="11" t="s">
        <v>3</v>
      </c>
      <c r="G62" s="24">
        <f>Ns1*(Vo4+VF4)/(Vo1+VF1)</f>
        <v>0</v>
      </c>
      <c r="H62" s="23" t="s">
        <v>42</v>
      </c>
      <c r="I62" s="271">
        <f>ROUND(G62,0)</f>
        <v>0</v>
      </c>
      <c r="J62" s="3" t="s">
        <v>36</v>
      </c>
      <c r="N62" s="45"/>
    </row>
    <row r="63" spans="2:14" ht="13.5">
      <c r="B63" s="12" t="s">
        <v>196</v>
      </c>
      <c r="E63" s="82" t="s">
        <v>153</v>
      </c>
      <c r="F63" s="82"/>
      <c r="G63" s="82"/>
      <c r="H63" s="82"/>
      <c r="I63" s="99">
        <f>Vdc_min*Dmax*Ns1/(Vo1+VF1)</f>
        <v>50.200362545028064</v>
      </c>
      <c r="J63" s="3" t="s">
        <v>36</v>
      </c>
      <c r="N63" s="45"/>
    </row>
    <row r="64" spans="5:8" ht="13.5">
      <c r="E64" s="26" t="str">
        <f>IF(I63&lt;C53,"-&gt;More turns required !!!","-&gt;enough turns")</f>
        <v>-&gt;enough turns</v>
      </c>
      <c r="F64" s="26"/>
      <c r="G64" s="26"/>
      <c r="H64" s="26"/>
    </row>
    <row r="65" spans="2:10" ht="15.75">
      <c r="B65" s="10" t="s">
        <v>197</v>
      </c>
      <c r="C65" s="17">
        <v>2490</v>
      </c>
      <c r="D65" t="s">
        <v>76</v>
      </c>
      <c r="I65" s="26"/>
      <c r="J65" s="26"/>
    </row>
    <row r="66" spans="2:4" ht="13.5">
      <c r="B66" s="7" t="s">
        <v>151</v>
      </c>
      <c r="C66" s="272">
        <f>AL*Np^2/1000000</f>
        <v>6.274990235134118</v>
      </c>
      <c r="D66" s="3" t="s">
        <v>152</v>
      </c>
    </row>
    <row r="68" spans="1:9" ht="13.5">
      <c r="A68" s="14" t="s">
        <v>155</v>
      </c>
      <c r="B68" s="14"/>
      <c r="C68" s="14"/>
      <c r="D68" s="14"/>
      <c r="E68" s="14"/>
      <c r="F68" s="14"/>
      <c r="G68" s="14"/>
      <c r="H68" s="14"/>
      <c r="I68" s="14"/>
    </row>
    <row r="69" spans="2:5" ht="13.5">
      <c r="B69" s="10"/>
      <c r="C69" s="39"/>
      <c r="D69" s="30"/>
      <c r="E69" s="30"/>
    </row>
    <row r="70" spans="2:10" ht="15.75">
      <c r="B70" s="21"/>
      <c r="C70" s="22" t="s">
        <v>45</v>
      </c>
      <c r="D70" s="22"/>
      <c r="E70" s="28" t="s">
        <v>49</v>
      </c>
      <c r="F70" s="28"/>
      <c r="G70" s="22" t="s">
        <v>61</v>
      </c>
      <c r="H70" s="22"/>
      <c r="I70" s="40" t="s">
        <v>50</v>
      </c>
      <c r="J70" s="27"/>
    </row>
    <row r="71" spans="2:10" ht="13.5">
      <c r="B71" s="7" t="s">
        <v>198</v>
      </c>
      <c r="C71" s="25">
        <v>0.68</v>
      </c>
      <c r="D71" s="11" t="s">
        <v>199</v>
      </c>
      <c r="E71" s="25">
        <v>1</v>
      </c>
      <c r="F71" t="s">
        <v>36</v>
      </c>
      <c r="G71" s="273">
        <f>Ids_rms</f>
        <v>1.8065401970944508</v>
      </c>
      <c r="H71" s="269" t="s">
        <v>22</v>
      </c>
      <c r="I71" s="1">
        <f aca="true" t="shared" si="0" ref="I71:I76">G71/E71/(3.14/4*C71^2)</f>
        <v>4.976914125951696</v>
      </c>
      <c r="J71" s="1"/>
    </row>
    <row r="72" spans="2:10" ht="13.5">
      <c r="B72" s="7" t="s">
        <v>81</v>
      </c>
      <c r="C72" s="25">
        <v>0.31</v>
      </c>
      <c r="D72" s="11" t="s">
        <v>199</v>
      </c>
      <c r="E72" s="25">
        <v>1</v>
      </c>
      <c r="F72" t="s">
        <v>36</v>
      </c>
      <c r="G72" s="273">
        <v>0.1</v>
      </c>
      <c r="H72" s="269" t="s">
        <v>22</v>
      </c>
      <c r="I72" s="1">
        <f t="shared" si="0"/>
        <v>1.325583090862093</v>
      </c>
      <c r="J72" s="1"/>
    </row>
    <row r="73" spans="2:13" ht="13.5">
      <c r="B73" s="7" t="s">
        <v>82</v>
      </c>
      <c r="C73" s="25">
        <v>0.68</v>
      </c>
      <c r="D73" s="11" t="s">
        <v>199</v>
      </c>
      <c r="E73" s="25">
        <v>4</v>
      </c>
      <c r="F73" t="s">
        <v>36</v>
      </c>
      <c r="G73" s="98">
        <f>Io_1*SQRT((3+KRF^2)*Dmax/3)</f>
        <v>9.522342148862327</v>
      </c>
      <c r="H73" s="269" t="s">
        <v>22</v>
      </c>
      <c r="I73" s="1">
        <f t="shared" si="0"/>
        <v>6.5583759538039725</v>
      </c>
      <c r="J73" s="1"/>
      <c r="M73" s="45"/>
    </row>
    <row r="74" spans="2:13" ht="13.5">
      <c r="B74" s="7" t="s">
        <v>83</v>
      </c>
      <c r="C74" s="25">
        <v>0.68</v>
      </c>
      <c r="D74" s="11" t="s">
        <v>199</v>
      </c>
      <c r="E74" s="25">
        <v>3</v>
      </c>
      <c r="F74" t="s">
        <v>36</v>
      </c>
      <c r="G74" s="98">
        <f>Io_2*SQRT((3+KRF^2)*Dmax/3)</f>
        <v>6.348228099241552</v>
      </c>
      <c r="H74" s="269" t="s">
        <v>22</v>
      </c>
      <c r="I74" s="1">
        <f t="shared" si="0"/>
        <v>5.82966751449242</v>
      </c>
      <c r="J74" s="1"/>
      <c r="M74" s="45"/>
    </row>
    <row r="75" spans="2:13" ht="13.5">
      <c r="B75" s="7" t="s">
        <v>84</v>
      </c>
      <c r="C75" s="25">
        <v>0.68</v>
      </c>
      <c r="D75" s="11" t="s">
        <v>199</v>
      </c>
      <c r="E75" s="25">
        <v>2</v>
      </c>
      <c r="F75" t="s">
        <v>36</v>
      </c>
      <c r="G75" s="98">
        <f>Io_3*SQRT((3+KRF^2)*Dmax/3)</f>
        <v>3.8089368595449313</v>
      </c>
      <c r="H75" s="269" t="s">
        <v>22</v>
      </c>
      <c r="I75" s="1">
        <f t="shared" si="0"/>
        <v>5.246700763043179</v>
      </c>
      <c r="J75" s="1"/>
      <c r="M75" s="45"/>
    </row>
    <row r="76" spans="2:13" ht="13.5">
      <c r="B76" s="7" t="s">
        <v>85</v>
      </c>
      <c r="C76" s="25">
        <v>0</v>
      </c>
      <c r="D76" s="11" t="s">
        <v>199</v>
      </c>
      <c r="E76" s="25">
        <v>0</v>
      </c>
      <c r="F76" t="s">
        <v>36</v>
      </c>
      <c r="G76" s="98">
        <f>Io_4*SQRT((3+KRF^2)*Dmax/3)</f>
        <v>0</v>
      </c>
      <c r="H76" s="269" t="s">
        <v>22</v>
      </c>
      <c r="I76" s="1" t="e">
        <f t="shared" si="0"/>
        <v>#DIV/0!</v>
      </c>
      <c r="J76" s="1"/>
      <c r="M76" s="45"/>
    </row>
    <row r="77" spans="1:13" ht="15.75">
      <c r="A77" s="31"/>
      <c r="B77" s="32" t="s">
        <v>51</v>
      </c>
      <c r="C77" s="272">
        <f>C71^2/4*3.14*E71*Np+C72^2/4*3.14*E72*Nc+C73^2/4*3.14*E73*Ns1+C74^2/4*3.14*E74*Ns2+C75^2/4*3.14*E75*Ns3+C76^2/4*3.14*E76*Ns4</f>
        <v>30.063731898044473</v>
      </c>
      <c r="D77" s="3" t="s">
        <v>200</v>
      </c>
      <c r="E77" s="34"/>
      <c r="F77" s="31"/>
      <c r="G77" s="35"/>
      <c r="H77" s="33"/>
      <c r="I77" s="31"/>
      <c r="J77" s="33"/>
      <c r="M77" s="45"/>
    </row>
    <row r="78" spans="1:13" ht="13.5">
      <c r="A78" s="38"/>
      <c r="B78" s="10" t="s">
        <v>53</v>
      </c>
      <c r="C78" s="17">
        <v>0.25</v>
      </c>
      <c r="D78" s="11"/>
      <c r="E78" s="36"/>
      <c r="F78" s="37"/>
      <c r="G78" s="37"/>
      <c r="H78" s="37"/>
      <c r="I78" s="37"/>
      <c r="J78" s="31"/>
      <c r="M78" s="45"/>
    </row>
    <row r="79" spans="2:10" ht="15.75">
      <c r="B79" s="32" t="s">
        <v>54</v>
      </c>
      <c r="C79" s="272">
        <f>C77/C78</f>
        <v>120.25492759217789</v>
      </c>
      <c r="D79" s="3" t="s">
        <v>200</v>
      </c>
      <c r="E79" s="38"/>
      <c r="F79" s="38"/>
      <c r="G79" s="38"/>
      <c r="H79" s="38"/>
      <c r="I79" s="38"/>
      <c r="J79" s="31"/>
    </row>
    <row r="81" spans="11:12" ht="13.5">
      <c r="K81" s="72"/>
      <c r="L81" s="72"/>
    </row>
    <row r="82" spans="1:13" ht="13.5">
      <c r="A82" s="14" t="s">
        <v>158</v>
      </c>
      <c r="B82" s="14"/>
      <c r="C82" s="14"/>
      <c r="D82" s="14"/>
      <c r="E82" s="14"/>
      <c r="F82" s="14"/>
      <c r="G82" s="14"/>
      <c r="H82" s="14"/>
      <c r="I82" s="14"/>
      <c r="K82" s="72"/>
      <c r="L82" s="72"/>
      <c r="M82" s="45"/>
    </row>
    <row r="83" spans="2:12" ht="15.75">
      <c r="B83" s="10" t="s">
        <v>159</v>
      </c>
      <c r="C83" s="17">
        <v>86</v>
      </c>
      <c r="D83" s="11" t="s">
        <v>34</v>
      </c>
      <c r="E83" s="11"/>
      <c r="F83" s="11"/>
      <c r="G83" s="11"/>
      <c r="K83" s="72"/>
      <c r="L83" s="72"/>
    </row>
    <row r="84" spans="2:4" ht="13.5">
      <c r="B84" s="10" t="s">
        <v>201</v>
      </c>
      <c r="C84" s="17">
        <v>0.42</v>
      </c>
      <c r="D84" s="11" t="s">
        <v>36</v>
      </c>
    </row>
    <row r="85" spans="2:4" ht="13.5">
      <c r="B85" s="7" t="s">
        <v>202</v>
      </c>
      <c r="C85" s="100">
        <f>Vo1*(Vo1+VF1)*(1-Dmax*Vdc_min/Vdc_max)/(2*KRF*Po*fs)*1000000</f>
        <v>5.663344686215079</v>
      </c>
      <c r="D85" s="3" t="s">
        <v>10</v>
      </c>
    </row>
    <row r="86" spans="2:4" ht="13.5">
      <c r="B86" s="7" t="s">
        <v>171</v>
      </c>
      <c r="C86" s="100">
        <f>L_1*Po*(1+KRF)/Vo1/Bsat/Ael*1000000</f>
        <v>6.491209025728247</v>
      </c>
      <c r="D86" s="3" t="s">
        <v>36</v>
      </c>
    </row>
    <row r="87" spans="2:6" ht="13.5">
      <c r="B87" s="10" t="s">
        <v>203</v>
      </c>
      <c r="C87" s="17">
        <v>6</v>
      </c>
      <c r="D87" s="23" t="s">
        <v>42</v>
      </c>
      <c r="E87" s="271">
        <f>ROUND(C87,0)</f>
        <v>6</v>
      </c>
      <c r="F87" s="3" t="s">
        <v>43</v>
      </c>
    </row>
    <row r="88" spans="2:6" ht="13.5">
      <c r="B88" s="7" t="s">
        <v>204</v>
      </c>
      <c r="C88" s="100">
        <f>Nl1/Ns1*Ns2</f>
        <v>4</v>
      </c>
      <c r="D88" s="23" t="s">
        <v>42</v>
      </c>
      <c r="E88" s="271">
        <f>ROUND(C88,0)</f>
        <v>4</v>
      </c>
      <c r="F88" s="3" t="s">
        <v>43</v>
      </c>
    </row>
    <row r="89" spans="2:6" ht="13.5">
      <c r="B89" s="7" t="s">
        <v>163</v>
      </c>
      <c r="C89" s="100">
        <f>Nl1/Ns1*Ns3</f>
        <v>14</v>
      </c>
      <c r="D89" s="23" t="s">
        <v>42</v>
      </c>
      <c r="E89" s="271">
        <f>ROUND(C89,0)</f>
        <v>14</v>
      </c>
      <c r="F89" s="3" t="s">
        <v>43</v>
      </c>
    </row>
    <row r="90" spans="2:6" ht="13.5">
      <c r="B90" s="7" t="s">
        <v>164</v>
      </c>
      <c r="C90" s="100">
        <f>Nl1/Ns1*Ns4</f>
        <v>0</v>
      </c>
      <c r="D90" s="23" t="s">
        <v>42</v>
      </c>
      <c r="E90" s="271">
        <f>ROUND(C90,0)</f>
        <v>0</v>
      </c>
      <c r="F90" s="3" t="s">
        <v>43</v>
      </c>
    </row>
    <row r="91" spans="2:13" ht="13.5">
      <c r="B91" s="7"/>
      <c r="D91" s="3"/>
      <c r="M91" s="45"/>
    </row>
    <row r="92" spans="1:13" ht="13.5">
      <c r="A92" s="14" t="s">
        <v>165</v>
      </c>
      <c r="B92" s="14"/>
      <c r="C92" s="14"/>
      <c r="D92" s="14"/>
      <c r="E92" s="14"/>
      <c r="F92" s="14"/>
      <c r="G92" s="14"/>
      <c r="H92" s="14"/>
      <c r="I92" s="14"/>
      <c r="M92" s="45"/>
    </row>
    <row r="93" spans="2:13" ht="13.5">
      <c r="B93" s="10"/>
      <c r="C93" s="39"/>
      <c r="D93" s="30"/>
      <c r="E93" s="30"/>
      <c r="M93" s="45"/>
    </row>
    <row r="94" spans="2:13" ht="15.75">
      <c r="B94" s="21"/>
      <c r="C94" s="22" t="s">
        <v>45</v>
      </c>
      <c r="D94" s="22"/>
      <c r="E94" s="28" t="s">
        <v>49</v>
      </c>
      <c r="F94" s="28"/>
      <c r="G94" s="22" t="s">
        <v>61</v>
      </c>
      <c r="H94" s="22"/>
      <c r="I94" s="40" t="s">
        <v>50</v>
      </c>
      <c r="J94" s="27"/>
      <c r="M94" s="45"/>
    </row>
    <row r="95" spans="2:13" ht="13.5">
      <c r="B95" s="7" t="s">
        <v>166</v>
      </c>
      <c r="C95" s="25">
        <v>0.68</v>
      </c>
      <c r="D95" s="11" t="s">
        <v>199</v>
      </c>
      <c r="E95" s="25">
        <v>5</v>
      </c>
      <c r="F95" t="s">
        <v>36</v>
      </c>
      <c r="G95" s="98">
        <f>Io_1*SQRT((3+KRF^2)/3)</f>
        <v>15.05614492491355</v>
      </c>
      <c r="H95" s="269" t="s">
        <v>22</v>
      </c>
      <c r="I95" s="274">
        <f>G95/E95/(3.14/4*C95^2)</f>
        <v>8.295762306279917</v>
      </c>
      <c r="J95" s="81"/>
      <c r="M95" s="45"/>
    </row>
    <row r="96" spans="2:13" ht="13.5">
      <c r="B96" s="7" t="s">
        <v>205</v>
      </c>
      <c r="C96" s="25">
        <v>0.68</v>
      </c>
      <c r="D96" s="11" t="s">
        <v>199</v>
      </c>
      <c r="E96" s="25">
        <v>3</v>
      </c>
      <c r="F96" t="s">
        <v>36</v>
      </c>
      <c r="G96" s="98">
        <f>Io_2*SQRT((3+KRF^2)/3)</f>
        <v>10.037429949942368</v>
      </c>
      <c r="H96" s="269" t="s">
        <v>22</v>
      </c>
      <c r="I96" s="274">
        <f>G96/E96/(3.14/4*C96^2)</f>
        <v>9.217513673644353</v>
      </c>
      <c r="J96" s="81"/>
      <c r="M96" s="45"/>
    </row>
    <row r="97" spans="2:13" ht="13.5">
      <c r="B97" s="7" t="s">
        <v>206</v>
      </c>
      <c r="C97" s="25">
        <v>0.68</v>
      </c>
      <c r="D97" s="11" t="s">
        <v>199</v>
      </c>
      <c r="E97" s="25">
        <v>2</v>
      </c>
      <c r="F97" t="s">
        <v>36</v>
      </c>
      <c r="G97" s="98">
        <f>Io_3*SQRT((3+KRF^2)/3)</f>
        <v>6.02245796996542</v>
      </c>
      <c r="H97" s="269" t="s">
        <v>22</v>
      </c>
      <c r="I97" s="274">
        <f>G97/E97/(3.14/4*C97^2)</f>
        <v>8.295762306279917</v>
      </c>
      <c r="J97" s="81"/>
      <c r="M97" s="45"/>
    </row>
    <row r="98" spans="2:13" ht="13.5">
      <c r="B98" s="7" t="s">
        <v>207</v>
      </c>
      <c r="C98" s="25">
        <v>0</v>
      </c>
      <c r="D98" s="11" t="s">
        <v>199</v>
      </c>
      <c r="E98" s="25">
        <v>0</v>
      </c>
      <c r="F98" t="s">
        <v>36</v>
      </c>
      <c r="G98" s="98">
        <f>Io_4*SQRT((3+KRF^2)/3)</f>
        <v>0</v>
      </c>
      <c r="H98" s="269" t="s">
        <v>22</v>
      </c>
      <c r="I98" s="274" t="e">
        <f>G98/E98/(3.14/4*C98^2)</f>
        <v>#DIV/0!</v>
      </c>
      <c r="J98" s="81"/>
      <c r="M98" s="45"/>
    </row>
    <row r="99" spans="2:13" ht="15.75">
      <c r="B99" s="32" t="s">
        <v>51</v>
      </c>
      <c r="C99" s="272">
        <f>C95^2/4*3.14*E95*Nl1+C96^2/4*3.14*E96*Nl2+C97^2/4*3.14*E97*Nl3+C98^2/4*3.14*E98*Nl4</f>
        <v>25.408880000000003</v>
      </c>
      <c r="D99" s="3" t="s">
        <v>200</v>
      </c>
      <c r="L99" s="45"/>
      <c r="M99" s="45"/>
    </row>
    <row r="100" spans="2:13" ht="13.5">
      <c r="B100" s="10" t="s">
        <v>53</v>
      </c>
      <c r="C100" s="17">
        <v>0.25</v>
      </c>
      <c r="D100" s="11"/>
      <c r="L100" s="45"/>
      <c r="M100" s="45"/>
    </row>
    <row r="101" spans="2:13" ht="15.75">
      <c r="B101" s="32" t="s">
        <v>54</v>
      </c>
      <c r="C101" s="272">
        <f>C99/C100</f>
        <v>101.63552000000001</v>
      </c>
      <c r="D101" s="3" t="s">
        <v>200</v>
      </c>
      <c r="L101" s="45"/>
      <c r="M101" s="45"/>
    </row>
    <row r="102" spans="1:13" ht="13.5">
      <c r="A102" s="31"/>
      <c r="E102" s="34"/>
      <c r="F102" s="31"/>
      <c r="G102" s="35"/>
      <c r="H102" s="33"/>
      <c r="I102" s="31"/>
      <c r="J102" s="33"/>
      <c r="L102" s="45"/>
      <c r="M102" s="45"/>
    </row>
    <row r="103" spans="1:13" ht="13.5">
      <c r="A103" s="14" t="s">
        <v>172</v>
      </c>
      <c r="B103" s="14"/>
      <c r="C103" s="14"/>
      <c r="D103" s="14"/>
      <c r="E103" s="14"/>
      <c r="F103" s="14"/>
      <c r="G103" s="14"/>
      <c r="H103" s="14"/>
      <c r="I103" s="14"/>
      <c r="J103" s="31"/>
      <c r="L103" s="45"/>
      <c r="M103" s="45"/>
    </row>
    <row r="104" spans="2:13" ht="13.5">
      <c r="B104" s="10"/>
      <c r="C104" s="39"/>
      <c r="D104" s="30"/>
      <c r="E104" s="30"/>
      <c r="J104" s="31"/>
      <c r="L104" s="45"/>
      <c r="M104" s="45"/>
    </row>
    <row r="105" spans="2:13" ht="13.5">
      <c r="B105" s="21"/>
      <c r="C105" s="22" t="s">
        <v>208</v>
      </c>
      <c r="D105" s="22"/>
      <c r="E105" s="22"/>
      <c r="F105" s="42"/>
      <c r="G105" s="43" t="s">
        <v>140</v>
      </c>
      <c r="H105" s="41"/>
      <c r="I105" s="41"/>
      <c r="L105" s="45"/>
      <c r="M105" s="45"/>
    </row>
    <row r="106" spans="2:13" ht="13.5">
      <c r="B106" s="7" t="s">
        <v>55</v>
      </c>
      <c r="C106" s="275">
        <f>Vcc*Vdc_max/Vdc_min+Vdc_max*Nc/Np</f>
        <v>47.28096853989598</v>
      </c>
      <c r="D106" s="275"/>
      <c r="E106" s="269" t="s">
        <v>3</v>
      </c>
      <c r="F106" s="4"/>
      <c r="G106" s="98">
        <v>0.1</v>
      </c>
      <c r="H106" s="3" t="s">
        <v>22</v>
      </c>
      <c r="I106" s="73"/>
      <c r="L106" s="45"/>
      <c r="M106" s="45"/>
    </row>
    <row r="107" spans="2:13" ht="13.5">
      <c r="B107" s="7" t="s">
        <v>56</v>
      </c>
      <c r="C107" s="275">
        <f>Vdc_max/Np*Ns1</f>
        <v>22.396248255740204</v>
      </c>
      <c r="D107" s="275"/>
      <c r="E107" s="269" t="s">
        <v>3</v>
      </c>
      <c r="F107" s="4"/>
      <c r="G107" s="98">
        <f>Io_1*SQRT((3+KRF^2)*Dmax/3)</f>
        <v>9.522342148862327</v>
      </c>
      <c r="H107" s="3" t="s">
        <v>22</v>
      </c>
      <c r="I107" s="73"/>
      <c r="L107" s="45"/>
      <c r="M107" s="45"/>
    </row>
    <row r="108" spans="2:13" ht="13.5">
      <c r="B108" s="7" t="s">
        <v>57</v>
      </c>
      <c r="C108" s="275">
        <f>Vdc_max/Np*Ns2</f>
        <v>14.930832170493469</v>
      </c>
      <c r="D108" s="275"/>
      <c r="E108" s="269" t="s">
        <v>3</v>
      </c>
      <c r="F108" s="4"/>
      <c r="G108" s="98">
        <f>Io_2*SQRT((3+KRF^2)*Dmax/3)</f>
        <v>6.348228099241552</v>
      </c>
      <c r="H108" s="3" t="s">
        <v>22</v>
      </c>
      <c r="I108" s="73"/>
      <c r="L108" s="48"/>
      <c r="M108" s="48"/>
    </row>
    <row r="109" spans="2:13" ht="13.5">
      <c r="B109" s="7" t="s">
        <v>58</v>
      </c>
      <c r="C109" s="275">
        <f>Vdc_max/Np*Ns3</f>
        <v>52.25791259672714</v>
      </c>
      <c r="D109" s="275"/>
      <c r="E109" s="269" t="s">
        <v>3</v>
      </c>
      <c r="F109" s="4"/>
      <c r="G109" s="98">
        <f>Io3rms</f>
        <v>3.8089368595449313</v>
      </c>
      <c r="H109" s="3" t="s">
        <v>22</v>
      </c>
      <c r="M109" s="49"/>
    </row>
    <row r="110" spans="2:13" ht="13.5">
      <c r="B110" s="7" t="s">
        <v>59</v>
      </c>
      <c r="C110" s="275">
        <f>Vdc_max/Np*Ns4</f>
        <v>0</v>
      </c>
      <c r="D110" s="275"/>
      <c r="E110" s="269" t="s">
        <v>3</v>
      </c>
      <c r="F110" s="4"/>
      <c r="G110" s="98">
        <f>Io4rms</f>
        <v>0</v>
      </c>
      <c r="H110" s="3" t="s">
        <v>22</v>
      </c>
      <c r="J110" s="72"/>
      <c r="M110" s="49"/>
    </row>
    <row r="111" spans="1:13" ht="13.5">
      <c r="A111" s="18"/>
      <c r="B111" s="31"/>
      <c r="C111" s="38"/>
      <c r="D111" s="38"/>
      <c r="E111" s="38"/>
      <c r="F111" s="83"/>
      <c r="G111" s="84"/>
      <c r="H111" s="38"/>
      <c r="I111" s="38"/>
      <c r="J111" s="85"/>
      <c r="L111" s="49"/>
      <c r="M111" s="49"/>
    </row>
    <row r="112" spans="1:13" ht="13.5">
      <c r="A112" s="14" t="s">
        <v>173</v>
      </c>
      <c r="B112" s="14"/>
      <c r="C112" s="14"/>
      <c r="D112" s="14"/>
      <c r="E112" s="14"/>
      <c r="F112" s="14"/>
      <c r="G112" s="14"/>
      <c r="H112" s="14"/>
      <c r="I112" s="14"/>
      <c r="M112" s="47"/>
    </row>
    <row r="113" spans="2:13" ht="13.5">
      <c r="B113" s="10"/>
      <c r="C113" s="39"/>
      <c r="D113" s="30"/>
      <c r="E113" s="30"/>
      <c r="L113" s="57"/>
      <c r="M113" s="49"/>
    </row>
    <row r="114" spans="2:13" ht="13.5">
      <c r="B114" s="21"/>
      <c r="C114" s="286" t="s">
        <v>139</v>
      </c>
      <c r="D114" s="286"/>
      <c r="E114" s="287" t="s">
        <v>67</v>
      </c>
      <c r="F114" s="287"/>
      <c r="G114" s="75" t="s">
        <v>70</v>
      </c>
      <c r="H114" s="75"/>
      <c r="I114" s="43" t="s">
        <v>72</v>
      </c>
      <c r="J114" s="43"/>
      <c r="L114" s="58"/>
      <c r="M114" s="49"/>
    </row>
    <row r="115" spans="2:13" ht="13.5">
      <c r="B115" s="21"/>
      <c r="C115" s="286"/>
      <c r="D115" s="286"/>
      <c r="E115" s="287"/>
      <c r="F115" s="287"/>
      <c r="G115" s="75" t="s">
        <v>69</v>
      </c>
      <c r="H115" s="75"/>
      <c r="I115" s="27" t="s">
        <v>71</v>
      </c>
      <c r="J115" s="27"/>
      <c r="L115" s="57"/>
      <c r="M115" s="49"/>
    </row>
    <row r="116" spans="2:13" ht="13.5">
      <c r="B116" s="7" t="s">
        <v>63</v>
      </c>
      <c r="C116" s="25">
        <v>4400</v>
      </c>
      <c r="D116" s="11" t="s">
        <v>62</v>
      </c>
      <c r="E116" s="25">
        <v>20</v>
      </c>
      <c r="F116" s="30" t="s">
        <v>68</v>
      </c>
      <c r="G116" s="98">
        <f>KRF*Io_1/SQRT(3)</f>
        <v>1.299038105676658</v>
      </c>
      <c r="H116" s="276" t="s">
        <v>3</v>
      </c>
      <c r="I116" s="98">
        <f>Io_1*KRF/4/C116/fs*1000000+2*KRF*Io_1*E116/1000</f>
        <v>0.09190807327001356</v>
      </c>
      <c r="J116" s="29" t="s">
        <v>3</v>
      </c>
      <c r="L116" s="57"/>
      <c r="M116" s="47"/>
    </row>
    <row r="117" spans="2:13" ht="13.5">
      <c r="B117" s="7" t="s">
        <v>64</v>
      </c>
      <c r="C117" s="25">
        <v>4400</v>
      </c>
      <c r="D117" s="11" t="s">
        <v>62</v>
      </c>
      <c r="E117" s="25">
        <v>20</v>
      </c>
      <c r="F117" s="30" t="s">
        <v>68</v>
      </c>
      <c r="G117" s="98">
        <f>KRF*Io_2/SQRT(3)</f>
        <v>0.8660254037844387</v>
      </c>
      <c r="H117" s="276" t="s">
        <v>3</v>
      </c>
      <c r="I117" s="98">
        <f>Io_2*KRF/4/C117/fs*1000000+2*KRF*Io_2*E117/1000</f>
        <v>0.06127204884667571</v>
      </c>
      <c r="J117" s="29" t="s">
        <v>3</v>
      </c>
      <c r="L117" s="57"/>
      <c r="M117" s="49"/>
    </row>
    <row r="118" spans="2:13" ht="13.5">
      <c r="B118" s="7" t="s">
        <v>65</v>
      </c>
      <c r="C118" s="25">
        <v>2000</v>
      </c>
      <c r="D118" s="11" t="s">
        <v>62</v>
      </c>
      <c r="E118" s="25">
        <v>60</v>
      </c>
      <c r="F118" s="30" t="s">
        <v>68</v>
      </c>
      <c r="G118" s="98">
        <f>KRF*Io_3/SQRT(3)</f>
        <v>0.5196152422706631</v>
      </c>
      <c r="H118" s="276" t="s">
        <v>3</v>
      </c>
      <c r="I118" s="98">
        <f>Io_3*KRF/4/C118/fs*1000000+2*KRF*Io_3*E118/1000</f>
        <v>0.10967910447761192</v>
      </c>
      <c r="J118" s="29" t="s">
        <v>3</v>
      </c>
      <c r="L118" s="58"/>
      <c r="M118" s="48"/>
    </row>
    <row r="119" spans="2:13" ht="13.5">
      <c r="B119" s="7" t="s">
        <v>66</v>
      </c>
      <c r="C119" s="25">
        <v>0</v>
      </c>
      <c r="D119" s="11" t="s">
        <v>62</v>
      </c>
      <c r="E119" s="25">
        <v>0</v>
      </c>
      <c r="F119" s="30" t="s">
        <v>68</v>
      </c>
      <c r="G119" s="98">
        <f>KRF*Io_4/SQRT(3)</f>
        <v>0</v>
      </c>
      <c r="H119" s="276" t="s">
        <v>3</v>
      </c>
      <c r="I119" s="98" t="e">
        <f>Io_1*KRF/4/C119/fs*1000000+2*KRF*Io_1*E119/1000</f>
        <v>#DIV/0!</v>
      </c>
      <c r="J119" s="29" t="s">
        <v>3</v>
      </c>
      <c r="L119" s="57"/>
      <c r="M119" s="48"/>
    </row>
    <row r="120" spans="12:13" ht="13.5">
      <c r="L120" s="93"/>
      <c r="M120" s="45"/>
    </row>
    <row r="121" spans="1:13" ht="13.5">
      <c r="A121" s="14" t="s">
        <v>174</v>
      </c>
      <c r="B121" s="14"/>
      <c r="C121" s="14"/>
      <c r="D121" s="14"/>
      <c r="E121" s="14"/>
      <c r="F121" s="14"/>
      <c r="G121" s="14"/>
      <c r="H121" s="14"/>
      <c r="I121" s="14"/>
      <c r="L121" s="60"/>
      <c r="M121" s="45"/>
    </row>
    <row r="122" spans="2:13" ht="13.5">
      <c r="B122" s="10" t="s">
        <v>213</v>
      </c>
      <c r="C122" s="17">
        <v>230</v>
      </c>
      <c r="D122" s="11" t="s">
        <v>214</v>
      </c>
      <c r="F122" s="18"/>
      <c r="G122" s="51">
        <f>Dmax*Vdc_min</f>
        <v>90.36065258105053</v>
      </c>
      <c r="H122" s="18"/>
      <c r="I122" s="18"/>
      <c r="J122" s="18"/>
      <c r="L122" s="61"/>
      <c r="M122" s="45"/>
    </row>
    <row r="123" spans="2:13" ht="13.5">
      <c r="B123" s="10" t="s">
        <v>215</v>
      </c>
      <c r="C123" s="17">
        <v>5</v>
      </c>
      <c r="D123" s="11" t="s">
        <v>28</v>
      </c>
      <c r="F123" s="86"/>
      <c r="G123" s="18"/>
      <c r="H123" s="18"/>
      <c r="I123" s="18"/>
      <c r="J123" s="18"/>
      <c r="L123" s="61"/>
      <c r="M123" s="45"/>
    </row>
    <row r="124" spans="2:13" ht="13.5">
      <c r="B124" s="7" t="s">
        <v>218</v>
      </c>
      <c r="C124" s="98">
        <f>Vdc_min/Lm*Dmax/fs*SQRT(Dmax/3)</f>
        <v>0.07848033893909288</v>
      </c>
      <c r="D124" s="3" t="s">
        <v>22</v>
      </c>
      <c r="E124" s="18"/>
      <c r="F124" s="18"/>
      <c r="G124" s="18"/>
      <c r="H124" s="18"/>
      <c r="I124" s="18"/>
      <c r="J124" s="18"/>
      <c r="L124" s="61"/>
      <c r="M124" s="45"/>
    </row>
    <row r="125" spans="2:13" ht="13.5" customHeight="1">
      <c r="B125" s="7" t="s">
        <v>217</v>
      </c>
      <c r="C125" s="98">
        <f>Vdc_max+Vsn</f>
        <v>674.7665940288703</v>
      </c>
      <c r="D125" s="3" t="s">
        <v>3</v>
      </c>
      <c r="E125" s="18"/>
      <c r="L125" s="61"/>
      <c r="M125" s="45"/>
    </row>
    <row r="126" spans="2:13" ht="13.5">
      <c r="B126" s="7" t="s">
        <v>216</v>
      </c>
      <c r="C126" s="98">
        <f>0.5*(nvo^2/Lm/fs-2*nvo*Vsn/SQRT(Lm/Coss))</f>
        <v>4.520595503738374</v>
      </c>
      <c r="D126" s="3" t="s">
        <v>5</v>
      </c>
      <c r="E126" s="18"/>
      <c r="L126" s="61"/>
      <c r="M126" s="45"/>
    </row>
    <row r="127" spans="2:13" ht="13.5">
      <c r="B127" s="7" t="s">
        <v>219</v>
      </c>
      <c r="C127" s="98">
        <f>Vsn^2/C126/1000</f>
        <v>19.908881457226855</v>
      </c>
      <c r="D127" s="29" t="s">
        <v>220</v>
      </c>
      <c r="L127" s="61"/>
      <c r="M127" s="45"/>
    </row>
    <row r="128" spans="2:13" ht="13.5">
      <c r="B128" s="7" t="s">
        <v>408</v>
      </c>
      <c r="C128" s="98">
        <f>Dmax*100/C123/C127/1000/fs*10^9</f>
        <v>5.997473305125537</v>
      </c>
      <c r="D128" s="3" t="s">
        <v>92</v>
      </c>
      <c r="L128" s="61"/>
      <c r="M128" s="45"/>
    </row>
    <row r="129" spans="12:13" ht="13.5">
      <c r="L129" s="61"/>
      <c r="M129" s="45"/>
    </row>
    <row r="130" spans="1:13" ht="13.5">
      <c r="A130" s="14" t="s">
        <v>178</v>
      </c>
      <c r="B130" s="14"/>
      <c r="C130" s="14"/>
      <c r="D130" s="14"/>
      <c r="E130" s="14"/>
      <c r="F130" s="14"/>
      <c r="G130" s="14"/>
      <c r="H130" s="14"/>
      <c r="I130" s="14"/>
      <c r="L130" s="61"/>
      <c r="M130" s="45"/>
    </row>
    <row r="131" spans="2:13" ht="13.5">
      <c r="B131" s="62" t="s">
        <v>102</v>
      </c>
      <c r="C131" s="277">
        <f>Ilim/3*(Vo1^2/Po)*Np/Ns1</f>
        <v>3.098787811421485</v>
      </c>
      <c r="D131" s="55"/>
      <c r="G131" s="50"/>
      <c r="H131" s="50"/>
      <c r="I131" s="50"/>
      <c r="L131" s="61"/>
      <c r="M131" s="45"/>
    </row>
    <row r="132" spans="2:13" ht="13.5">
      <c r="B132" s="62" t="s">
        <v>103</v>
      </c>
      <c r="C132" s="277">
        <f>1/(2*3.14*Rc_1*Co_1)*10^9</f>
        <v>1809.4962362478286</v>
      </c>
      <c r="D132" s="3" t="s">
        <v>4</v>
      </c>
      <c r="E132" s="3"/>
      <c r="K132" s="12"/>
      <c r="L132" s="61"/>
      <c r="M132" s="45"/>
    </row>
    <row r="133" spans="2:13" ht="13.5">
      <c r="B133" s="62" t="s">
        <v>104</v>
      </c>
      <c r="C133" s="277">
        <f>1/(2*3.14*Vo1^2/Po*Co_1)*10^6</f>
        <v>260.5674580196873</v>
      </c>
      <c r="D133" s="3" t="s">
        <v>4</v>
      </c>
      <c r="K133" s="12"/>
      <c r="L133" s="61"/>
      <c r="M133" s="45"/>
    </row>
    <row r="134" spans="5:13" ht="13.5">
      <c r="E134" s="87"/>
      <c r="F134" s="87"/>
      <c r="K134" s="12"/>
      <c r="L134" s="61"/>
      <c r="M134" s="45"/>
    </row>
    <row r="135" spans="2:13" ht="13.5">
      <c r="B135" s="10" t="s">
        <v>209</v>
      </c>
      <c r="C135" s="17">
        <v>10</v>
      </c>
      <c r="D135" s="11" t="s">
        <v>73</v>
      </c>
      <c r="K135" s="12"/>
      <c r="L135" s="61"/>
      <c r="M135" s="45"/>
    </row>
    <row r="136" spans="2:13" ht="13.5">
      <c r="B136" s="10" t="s">
        <v>90</v>
      </c>
      <c r="C136" s="17">
        <v>10</v>
      </c>
      <c r="D136" s="11" t="s">
        <v>73</v>
      </c>
      <c r="K136" s="51"/>
      <c r="L136" s="61"/>
      <c r="M136" s="45"/>
    </row>
    <row r="137" spans="2:13" ht="13.5">
      <c r="B137" s="10" t="s">
        <v>89</v>
      </c>
      <c r="C137" s="17">
        <v>1</v>
      </c>
      <c r="D137" s="11" t="s">
        <v>210</v>
      </c>
      <c r="E137" s="53"/>
      <c r="F137" s="54"/>
      <c r="G137" s="54"/>
      <c r="K137" s="51"/>
      <c r="L137" s="61"/>
      <c r="M137" s="45"/>
    </row>
    <row r="138" spans="2:13" ht="13.5">
      <c r="B138" s="10" t="s">
        <v>91</v>
      </c>
      <c r="C138" s="17">
        <v>1.2</v>
      </c>
      <c r="D138" s="11" t="s">
        <v>210</v>
      </c>
      <c r="E138" s="56"/>
      <c r="F138" s="54"/>
      <c r="G138" s="54"/>
      <c r="K138" s="51"/>
      <c r="L138" s="61"/>
      <c r="M138" s="45"/>
    </row>
    <row r="139" spans="2:13" ht="13.5">
      <c r="B139" s="16" t="s">
        <v>93</v>
      </c>
      <c r="C139" s="17">
        <v>10</v>
      </c>
      <c r="D139" s="52" t="s">
        <v>92</v>
      </c>
      <c r="K139" s="51"/>
      <c r="L139" s="61"/>
      <c r="M139" s="45"/>
    </row>
    <row r="140" spans="2:12" ht="13.5">
      <c r="B140" s="16" t="s">
        <v>94</v>
      </c>
      <c r="C140" s="17">
        <v>100</v>
      </c>
      <c r="D140" s="52" t="s">
        <v>92</v>
      </c>
      <c r="K140" s="51"/>
      <c r="L140" s="61"/>
    </row>
    <row r="141" spans="2:12" ht="13.5">
      <c r="B141" s="16" t="s">
        <v>95</v>
      </c>
      <c r="C141" s="17">
        <v>1</v>
      </c>
      <c r="D141" s="52" t="s">
        <v>73</v>
      </c>
      <c r="K141" s="51"/>
      <c r="L141" s="61"/>
    </row>
    <row r="142" spans="11:12" ht="13.5">
      <c r="K142" s="51"/>
      <c r="L142" s="12"/>
    </row>
    <row r="143" spans="2:12" ht="13.5">
      <c r="B143" s="7" t="s">
        <v>86</v>
      </c>
      <c r="C143" s="278">
        <f>3/(2*3.14*C135*C137*C140)*1000000</f>
        <v>477.7070063694268</v>
      </c>
      <c r="D143" s="3" t="s">
        <v>4</v>
      </c>
      <c r="E143" s="87"/>
      <c r="F143" s="87"/>
      <c r="K143" s="51"/>
      <c r="L143" s="12"/>
    </row>
    <row r="144" spans="2:12" ht="13.5">
      <c r="B144" s="7" t="s">
        <v>87</v>
      </c>
      <c r="C144" s="279">
        <f>1/(2*3.14*C140*(C141+C135))*10^6</f>
        <v>144.75969889982628</v>
      </c>
      <c r="D144" s="3" t="s">
        <v>4</v>
      </c>
      <c r="K144" s="51"/>
      <c r="L144" s="87"/>
    </row>
    <row r="145" spans="2:12" ht="13.5">
      <c r="B145" s="7" t="s">
        <v>88</v>
      </c>
      <c r="C145" s="279">
        <f>1/(2*3.14*3*C139)*1000000</f>
        <v>5307.855626326964</v>
      </c>
      <c r="D145" s="3" t="s">
        <v>4</v>
      </c>
      <c r="K145" s="51"/>
      <c r="L145" s="87"/>
    </row>
    <row r="146" spans="1:12" ht="13.5">
      <c r="A146" s="87"/>
      <c r="B146" s="87"/>
      <c r="C146" s="87"/>
      <c r="D146" s="87"/>
      <c r="E146" s="88"/>
      <c r="F146" s="87"/>
      <c r="G146" s="87"/>
      <c r="H146" s="87"/>
      <c r="I146" s="87"/>
      <c r="J146" s="87"/>
      <c r="K146" s="88"/>
      <c r="L146" s="87"/>
    </row>
    <row r="147" spans="1:12" ht="13.5">
      <c r="A147" s="87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7"/>
    </row>
    <row r="148" spans="1:12" ht="13.5">
      <c r="A148" s="87"/>
      <c r="B148" s="51">
        <v>16</v>
      </c>
      <c r="C148" s="51">
        <f aca="true" t="shared" si="1" ref="C148:C167">20*LOG(K_1*SQRT(1+B148^2/fz_1^2)/SQRT(1+B148^2/fp_1^2))</f>
        <v>9.807832017398853</v>
      </c>
      <c r="D148" s="51">
        <f aca="true" t="shared" si="2" ref="D148:D167">20*LOG(fi/B148*SQRT(1+B148^2/fz^2)/SQRT(1+B148^2/fp^2))</f>
        <v>29.55352696546921</v>
      </c>
      <c r="E148" s="51">
        <f aca="true" t="shared" si="3" ref="E148:E167">SUM(C148:D148)</f>
        <v>39.36135898286806</v>
      </c>
      <c r="F148" s="51"/>
      <c r="G148" s="51">
        <v>16</v>
      </c>
      <c r="H148" s="51">
        <f aca="true" t="shared" si="4" ref="H148:H167">180/3.14*(ATAN(G148/fz_1)-ATAN(G148/fp_1))</f>
        <v>-3.008719131107526</v>
      </c>
      <c r="I148" s="51">
        <f aca="true" t="shared" si="5" ref="I148:I167">180/3.14*(ATAN(G148/fz)-ATAN(G148/fp))-90</f>
        <v>-83.8624131113834</v>
      </c>
      <c r="J148" s="51">
        <f aca="true" t="shared" si="6" ref="J148:J167">SUM(H148:I148)</f>
        <v>-86.87113224249093</v>
      </c>
      <c r="K148" s="51"/>
      <c r="L148" s="87"/>
    </row>
    <row r="149" spans="1:12" ht="13.5">
      <c r="A149" s="87"/>
      <c r="B149" s="51">
        <v>25</v>
      </c>
      <c r="C149" s="51">
        <f t="shared" si="1"/>
        <v>9.784870308785257</v>
      </c>
      <c r="D149" s="51">
        <f t="shared" si="2"/>
        <v>25.75197123132016</v>
      </c>
      <c r="E149" s="51">
        <f t="shared" si="3"/>
        <v>35.536841540105414</v>
      </c>
      <c r="F149" s="51"/>
      <c r="G149" s="51">
        <v>25</v>
      </c>
      <c r="H149" s="51">
        <f t="shared" si="4"/>
        <v>-4.6912665404406715</v>
      </c>
      <c r="I149" s="51">
        <f t="shared" si="5"/>
        <v>-80.46669682831117</v>
      </c>
      <c r="J149" s="51">
        <f t="shared" si="6"/>
        <v>-85.15796336875184</v>
      </c>
      <c r="K149" s="51"/>
      <c r="L149" s="87"/>
    </row>
    <row r="150" spans="1:12" ht="13.5">
      <c r="A150" s="87"/>
      <c r="B150" s="51">
        <v>40</v>
      </c>
      <c r="C150" s="51">
        <f t="shared" si="1"/>
        <v>9.724801399157844</v>
      </c>
      <c r="D150" s="51">
        <f t="shared" si="2"/>
        <v>21.861331975396308</v>
      </c>
      <c r="E150" s="51">
        <f t="shared" si="3"/>
        <v>31.58613337455415</v>
      </c>
      <c r="F150" s="51"/>
      <c r="G150" s="51">
        <v>40</v>
      </c>
      <c r="H150" s="51">
        <f t="shared" si="4"/>
        <v>-7.464841651583139</v>
      </c>
      <c r="I150" s="51">
        <f t="shared" si="5"/>
        <v>-74.97761661251286</v>
      </c>
      <c r="J150" s="51">
        <f t="shared" si="6"/>
        <v>-82.442458264096</v>
      </c>
      <c r="K150" s="51"/>
      <c r="L150" s="87"/>
    </row>
    <row r="151" spans="1:12" ht="13.5">
      <c r="A151" s="87"/>
      <c r="B151" s="51">
        <v>63</v>
      </c>
      <c r="C151" s="51">
        <f t="shared" si="1"/>
        <v>9.582363480937978</v>
      </c>
      <c r="D151" s="51">
        <f t="shared" si="2"/>
        <v>18.349097997673677</v>
      </c>
      <c r="E151" s="51">
        <f t="shared" si="3"/>
        <v>27.931461478611656</v>
      </c>
      <c r="F151" s="51"/>
      <c r="G151" s="51">
        <v>63</v>
      </c>
      <c r="H151" s="51">
        <f t="shared" si="4"/>
        <v>-11.603986231872332</v>
      </c>
      <c r="I151" s="51">
        <f t="shared" si="5"/>
        <v>-67.1495709149444</v>
      </c>
      <c r="J151" s="51">
        <f t="shared" si="6"/>
        <v>-78.75355714681673</v>
      </c>
      <c r="K151" s="51"/>
      <c r="L151" s="87"/>
    </row>
    <row r="152" spans="1:12" ht="13.5">
      <c r="A152" s="87"/>
      <c r="B152" s="51">
        <v>100</v>
      </c>
      <c r="C152" s="51">
        <f t="shared" si="1"/>
        <v>9.240365794059116</v>
      </c>
      <c r="D152" s="51">
        <f t="shared" si="2"/>
        <v>15.27609761530117</v>
      </c>
      <c r="E152" s="51">
        <f t="shared" si="3"/>
        <v>24.516463409360284</v>
      </c>
      <c r="F152" s="51"/>
      <c r="G152" s="51">
        <v>100</v>
      </c>
      <c r="H152" s="51">
        <f t="shared" si="4"/>
        <v>-17.84156097349649</v>
      </c>
      <c r="I152" s="51">
        <f t="shared" si="5"/>
        <v>-56.425587541504676</v>
      </c>
      <c r="J152" s="51">
        <f t="shared" si="6"/>
        <v>-74.26714851500117</v>
      </c>
      <c r="K152" s="51"/>
      <c r="L152" s="87"/>
    </row>
    <row r="153" spans="1:12" ht="13.5">
      <c r="A153" s="87"/>
      <c r="B153" s="51">
        <v>160</v>
      </c>
      <c r="C153" s="51">
        <f t="shared" si="1"/>
        <v>8.468161209236055</v>
      </c>
      <c r="D153" s="51">
        <f t="shared" si="2"/>
        <v>12.963632538171012</v>
      </c>
      <c r="E153" s="51">
        <f t="shared" si="3"/>
        <v>21.431793747407067</v>
      </c>
      <c r="F153" s="51"/>
      <c r="G153" s="51">
        <v>160</v>
      </c>
      <c r="H153" s="51">
        <f t="shared" si="4"/>
        <v>-26.51212632525453</v>
      </c>
      <c r="I153" s="51">
        <f t="shared" si="5"/>
        <v>-43.84036058492925</v>
      </c>
      <c r="J153" s="51">
        <f t="shared" si="6"/>
        <v>-70.35248691018379</v>
      </c>
      <c r="K153" s="51"/>
      <c r="L153" s="87"/>
    </row>
    <row r="154" spans="1:12" ht="13.5">
      <c r="A154" s="87"/>
      <c r="B154" s="51">
        <v>250</v>
      </c>
      <c r="C154" s="51">
        <f t="shared" si="1"/>
        <v>7.071735258368344</v>
      </c>
      <c r="D154" s="51">
        <f t="shared" si="2"/>
        <v>11.616397754099022</v>
      </c>
      <c r="E154" s="51">
        <f t="shared" si="3"/>
        <v>18.688133012467368</v>
      </c>
      <c r="F154" s="51"/>
      <c r="G154" s="51">
        <v>250</v>
      </c>
      <c r="H154" s="51">
        <f t="shared" si="4"/>
        <v>-35.9663379021431</v>
      </c>
      <c r="I154" s="51">
        <f t="shared" si="5"/>
        <v>-32.740116015182714</v>
      </c>
      <c r="J154" s="51">
        <f t="shared" si="6"/>
        <v>-68.70645391732582</v>
      </c>
      <c r="K154" s="51"/>
      <c r="L154" s="87"/>
    </row>
    <row r="155" spans="1:12" ht="13.5">
      <c r="A155" s="87"/>
      <c r="B155" s="51">
        <v>400</v>
      </c>
      <c r="C155" s="51">
        <f t="shared" si="1"/>
        <v>4.7720837722968605</v>
      </c>
      <c r="D155" s="51">
        <f t="shared" si="2"/>
        <v>10.880199362973002</v>
      </c>
      <c r="E155" s="51">
        <f t="shared" si="3"/>
        <v>15.652283135269862</v>
      </c>
      <c r="F155" s="51"/>
      <c r="G155" s="51">
        <v>400</v>
      </c>
      <c r="H155" s="51">
        <f t="shared" si="4"/>
        <v>-44.476459793551335</v>
      </c>
      <c r="I155" s="51">
        <f t="shared" si="5"/>
        <v>-24.171443569219875</v>
      </c>
      <c r="J155" s="51">
        <f t="shared" si="6"/>
        <v>-68.64790336277122</v>
      </c>
      <c r="K155" s="51"/>
      <c r="L155" s="87"/>
    </row>
    <row r="156" spans="1:12" ht="13.5">
      <c r="A156" s="87"/>
      <c r="B156" s="51">
        <v>630</v>
      </c>
      <c r="C156" s="51">
        <f t="shared" si="1"/>
        <v>1.9665212084189765</v>
      </c>
      <c r="D156" s="51">
        <f t="shared" si="2"/>
        <v>10.532972150465374</v>
      </c>
      <c r="E156" s="51">
        <f t="shared" si="3"/>
        <v>12.49949335888435</v>
      </c>
      <c r="F156" s="51"/>
      <c r="G156" s="51">
        <v>630</v>
      </c>
      <c r="H156" s="51">
        <f t="shared" si="4"/>
        <v>-48.35833371056123</v>
      </c>
      <c r="I156" s="51">
        <f t="shared" si="5"/>
        <v>-19.673875874863498</v>
      </c>
      <c r="J156" s="51">
        <f t="shared" si="6"/>
        <v>-68.03220958542474</v>
      </c>
      <c r="K156" s="51"/>
      <c r="L156" s="87"/>
    </row>
    <row r="157" spans="1:13" ht="13.5">
      <c r="A157" s="87"/>
      <c r="B157" s="51">
        <v>1000</v>
      </c>
      <c r="C157" s="51">
        <f t="shared" si="1"/>
        <v>-0.9855742746097252</v>
      </c>
      <c r="D157" s="51">
        <f t="shared" si="2"/>
        <v>10.308868160508757</v>
      </c>
      <c r="E157" s="51">
        <f t="shared" si="3"/>
        <v>9.323293885899032</v>
      </c>
      <c r="F157" s="51"/>
      <c r="G157" s="51">
        <v>1000</v>
      </c>
      <c r="H157" s="51">
        <f t="shared" si="4"/>
        <v>-46.492107842573816</v>
      </c>
      <c r="I157" s="51">
        <f t="shared" si="5"/>
        <v>-18.870304362818032</v>
      </c>
      <c r="J157" s="51">
        <f t="shared" si="6"/>
        <v>-65.36241220539185</v>
      </c>
      <c r="K157" s="51"/>
      <c r="L157" s="87"/>
      <c r="M157" s="63"/>
    </row>
    <row r="158" spans="1:13" ht="13.5">
      <c r="A158" s="87"/>
      <c r="B158" s="51">
        <v>1600</v>
      </c>
      <c r="C158" s="51">
        <f t="shared" si="1"/>
        <v>-3.545123952882478</v>
      </c>
      <c r="D158" s="51">
        <f t="shared" si="2"/>
        <v>10.027969740638946</v>
      </c>
      <c r="E158" s="51">
        <f t="shared" si="3"/>
        <v>6.482845787756468</v>
      </c>
      <c r="F158" s="51"/>
      <c r="G158" s="51">
        <v>1600</v>
      </c>
      <c r="H158" s="51">
        <f t="shared" si="4"/>
        <v>-39.286347809738935</v>
      </c>
      <c r="I158" s="51">
        <f t="shared" si="5"/>
        <v>-21.91013858850475</v>
      </c>
      <c r="J158" s="51">
        <f t="shared" si="6"/>
        <v>-61.196486398243685</v>
      </c>
      <c r="K158" s="50"/>
      <c r="L158" s="87"/>
      <c r="M158" s="63"/>
    </row>
    <row r="159" spans="1:13" ht="13.5">
      <c r="A159" s="87"/>
      <c r="B159" s="51">
        <v>2500</v>
      </c>
      <c r="C159" s="51">
        <f t="shared" si="1"/>
        <v>-5.226317682308093</v>
      </c>
      <c r="D159" s="51">
        <f t="shared" si="2"/>
        <v>9.514668781888545</v>
      </c>
      <c r="E159" s="51">
        <f t="shared" si="3"/>
        <v>4.288351099580453</v>
      </c>
      <c r="F159" s="51"/>
      <c r="G159" s="51">
        <v>2500</v>
      </c>
      <c r="H159" s="51">
        <f t="shared" si="4"/>
        <v>-29.961870399881647</v>
      </c>
      <c r="I159" s="51">
        <f t="shared" si="5"/>
        <v>-28.503206824315235</v>
      </c>
      <c r="J159" s="51">
        <f t="shared" si="6"/>
        <v>-58.46507722419688</v>
      </c>
      <c r="K159" s="50"/>
      <c r="L159" s="89"/>
      <c r="M159" s="63"/>
    </row>
    <row r="160" spans="1:13" ht="13.5">
      <c r="A160" s="87"/>
      <c r="B160" s="51">
        <v>4000</v>
      </c>
      <c r="C160" s="51">
        <f t="shared" si="1"/>
        <v>-6.218722457475053</v>
      </c>
      <c r="D160" s="51">
        <f t="shared" si="2"/>
        <v>8.42274357803824</v>
      </c>
      <c r="E160" s="51">
        <f t="shared" si="3"/>
        <v>2.204021120563187</v>
      </c>
      <c r="F160" s="51"/>
      <c r="G160" s="51">
        <v>4000</v>
      </c>
      <c r="H160" s="51">
        <f t="shared" si="4"/>
        <v>-20.624129690122004</v>
      </c>
      <c r="I160" s="51">
        <f t="shared" si="5"/>
        <v>-39.048474335395056</v>
      </c>
      <c r="J160" s="51">
        <f t="shared" si="6"/>
        <v>-59.67260402551706</v>
      </c>
      <c r="K160" s="50"/>
      <c r="L160" s="89"/>
      <c r="M160" s="63"/>
    </row>
    <row r="161" spans="1:13" ht="13.5">
      <c r="A161" s="87"/>
      <c r="B161" s="51">
        <v>6300</v>
      </c>
      <c r="C161" s="51">
        <f t="shared" si="1"/>
        <v>-6.6720722029056345</v>
      </c>
      <c r="D161" s="51">
        <f t="shared" si="2"/>
        <v>6.554601444696154</v>
      </c>
      <c r="E161" s="51">
        <f t="shared" si="3"/>
        <v>-0.11747075820948094</v>
      </c>
      <c r="F161" s="51"/>
      <c r="G161" s="51">
        <v>6300</v>
      </c>
      <c r="H161" s="51">
        <f t="shared" si="4"/>
        <v>-13.663738488035646</v>
      </c>
      <c r="I161" s="51">
        <f t="shared" si="5"/>
        <v>-51.18191659289437</v>
      </c>
      <c r="J161" s="51">
        <f t="shared" si="6"/>
        <v>-64.84565508093002</v>
      </c>
      <c r="K161" s="50"/>
      <c r="L161" s="89"/>
      <c r="M161" s="63"/>
    </row>
    <row r="162" spans="1:13" ht="13.5">
      <c r="A162" s="87"/>
      <c r="B162" s="51">
        <v>10000</v>
      </c>
      <c r="C162" s="51">
        <f t="shared" si="1"/>
        <v>-6.871939418874771</v>
      </c>
      <c r="D162" s="51">
        <f t="shared" si="2"/>
        <v>3.7915940912533843</v>
      </c>
      <c r="E162" s="51">
        <f t="shared" si="3"/>
        <v>-3.0803453276213864</v>
      </c>
      <c r="F162" s="51"/>
      <c r="G162" s="51">
        <v>10000</v>
      </c>
      <c r="H162" s="51">
        <f t="shared" si="4"/>
        <v>-8.768508307040664</v>
      </c>
      <c r="I162" s="51">
        <f t="shared" si="5"/>
        <v>-62.856876446243845</v>
      </c>
      <c r="J162" s="51">
        <f t="shared" si="6"/>
        <v>-71.62538475328451</v>
      </c>
      <c r="K162" s="50"/>
      <c r="L162" s="89"/>
      <c r="M162" s="63"/>
    </row>
    <row r="163" spans="1:13" ht="13.5">
      <c r="A163" s="87"/>
      <c r="B163" s="51">
        <v>16000</v>
      </c>
      <c r="C163" s="51">
        <f t="shared" si="1"/>
        <v>-6.954870384682559</v>
      </c>
      <c r="D163" s="51">
        <f t="shared" si="2"/>
        <v>0.3331831287290898</v>
      </c>
      <c r="E163" s="51">
        <f t="shared" si="3"/>
        <v>-6.62168725595347</v>
      </c>
      <c r="F163" s="51"/>
      <c r="G163" s="51">
        <v>16000</v>
      </c>
      <c r="H163" s="51">
        <f t="shared" si="4"/>
        <v>-5.5221588952293645</v>
      </c>
      <c r="I163" s="51">
        <f t="shared" si="5"/>
        <v>-72.15652461245398</v>
      </c>
      <c r="J163" s="51">
        <f t="shared" si="6"/>
        <v>-77.67868350768335</v>
      </c>
      <c r="K163" s="50"/>
      <c r="L163" s="89"/>
      <c r="M163" s="63"/>
    </row>
    <row r="164" spans="1:13" ht="13.5">
      <c r="A164" s="87"/>
      <c r="B164" s="51">
        <v>25000</v>
      </c>
      <c r="C164" s="51">
        <f t="shared" si="1"/>
        <v>-6.986692522006292</v>
      </c>
      <c r="D164" s="51">
        <f t="shared" si="2"/>
        <v>-3.281478005794721</v>
      </c>
      <c r="E164" s="51">
        <f t="shared" si="3"/>
        <v>-10.268170527801013</v>
      </c>
      <c r="F164" s="51"/>
      <c r="G164" s="51">
        <v>25000</v>
      </c>
      <c r="H164" s="51">
        <f t="shared" si="4"/>
        <v>-3.544482542238017</v>
      </c>
      <c r="I164" s="51">
        <f t="shared" si="5"/>
        <v>-78.33913483718383</v>
      </c>
      <c r="J164" s="51">
        <f t="shared" si="6"/>
        <v>-81.88361737942185</v>
      </c>
      <c r="K164" s="50"/>
      <c r="L164" s="89"/>
      <c r="M164" s="63"/>
    </row>
    <row r="165" spans="1:13" ht="13.5">
      <c r="A165" s="87"/>
      <c r="B165" s="51">
        <v>40000</v>
      </c>
      <c r="C165" s="51">
        <f t="shared" si="1"/>
        <v>-7.000219243700095</v>
      </c>
      <c r="D165" s="51">
        <f t="shared" si="2"/>
        <v>-7.248288661365827</v>
      </c>
      <c r="E165" s="51">
        <f t="shared" si="3"/>
        <v>-14.248507905065921</v>
      </c>
      <c r="F165" s="51"/>
      <c r="G165" s="51">
        <v>40000</v>
      </c>
      <c r="H165" s="51">
        <f t="shared" si="4"/>
        <v>-2.2180408935012217</v>
      </c>
      <c r="I165" s="51">
        <f t="shared" si="5"/>
        <v>-82.64483963069317</v>
      </c>
      <c r="J165" s="51">
        <f t="shared" si="6"/>
        <v>-84.8628805241944</v>
      </c>
      <c r="K165" s="70"/>
      <c r="L165" s="89"/>
      <c r="M165" s="63"/>
    </row>
    <row r="166" spans="1:13" ht="13.5">
      <c r="A166" s="87"/>
      <c r="B166" s="51">
        <v>63000</v>
      </c>
      <c r="C166" s="51">
        <f t="shared" si="1"/>
        <v>-7.005406378180298</v>
      </c>
      <c r="D166" s="51">
        <f t="shared" si="2"/>
        <v>-11.148846053820012</v>
      </c>
      <c r="E166" s="51">
        <f t="shared" si="3"/>
        <v>-18.154252432000312</v>
      </c>
      <c r="F166" s="51"/>
      <c r="G166" s="51">
        <v>63000</v>
      </c>
      <c r="H166" s="51">
        <f t="shared" si="4"/>
        <v>-1.4089471530833404</v>
      </c>
      <c r="I166" s="51">
        <f t="shared" si="5"/>
        <v>-85.31338452729842</v>
      </c>
      <c r="J166" s="51">
        <f t="shared" si="6"/>
        <v>-86.72233168038177</v>
      </c>
      <c r="K166" s="70"/>
      <c r="L166" s="89"/>
      <c r="M166" s="63"/>
    </row>
    <row r="167" spans="1:13" ht="13.5">
      <c r="A167" s="87"/>
      <c r="B167" s="51">
        <v>100000</v>
      </c>
      <c r="C167" s="51">
        <f t="shared" si="1"/>
        <v>-7.0075210956457745</v>
      </c>
      <c r="D167" s="51">
        <f t="shared" si="2"/>
        <v>-15.143548389662417</v>
      </c>
      <c r="E167" s="51">
        <f t="shared" si="3"/>
        <v>-22.15106948530819</v>
      </c>
      <c r="F167" s="51"/>
      <c r="G167" s="51">
        <v>100000</v>
      </c>
      <c r="H167" s="51">
        <f t="shared" si="4"/>
        <v>-0.8878081033864889</v>
      </c>
      <c r="I167" s="51">
        <f t="shared" si="5"/>
        <v>-87.04311605434854</v>
      </c>
      <c r="J167" s="51">
        <f t="shared" si="6"/>
        <v>-87.93092415773503</v>
      </c>
      <c r="K167" s="70"/>
      <c r="L167" s="89"/>
      <c r="M167" s="63"/>
    </row>
    <row r="168" spans="1:13" ht="13.5">
      <c r="A168" s="87"/>
      <c r="B168" s="51"/>
      <c r="C168" s="51"/>
      <c r="D168" s="51"/>
      <c r="E168" s="51"/>
      <c r="F168" s="51"/>
      <c r="G168" s="51"/>
      <c r="H168" s="51"/>
      <c r="I168" s="51"/>
      <c r="J168" s="51"/>
      <c r="K168" s="70"/>
      <c r="L168" s="89"/>
      <c r="M168" s="63"/>
    </row>
    <row r="169" spans="1:13" ht="13.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9"/>
      <c r="L169" s="63"/>
      <c r="M169" s="63"/>
    </row>
    <row r="170" spans="1:13" ht="13.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9"/>
      <c r="L170" s="63"/>
      <c r="M170" s="63"/>
    </row>
    <row r="171" spans="11:13" ht="13.5">
      <c r="K171" s="63"/>
      <c r="L171" s="63"/>
      <c r="M171" s="63"/>
    </row>
    <row r="172" spans="7:13" ht="13.5">
      <c r="G172" s="12"/>
      <c r="H172" s="12"/>
      <c r="I172" s="12"/>
      <c r="J172" s="12"/>
      <c r="K172" s="63"/>
      <c r="L172" s="63"/>
      <c r="M172" s="63"/>
    </row>
    <row r="173" spans="1:13" ht="13.5">
      <c r="A173" s="18"/>
      <c r="F173" s="18"/>
      <c r="G173" s="18"/>
      <c r="H173" s="18"/>
      <c r="I173" s="18"/>
      <c r="J173" s="18"/>
      <c r="K173" s="63"/>
      <c r="L173" s="63"/>
      <c r="M173" s="63"/>
    </row>
    <row r="174" spans="1:13" ht="13.5">
      <c r="A174" s="38"/>
      <c r="F174" s="38"/>
      <c r="G174" s="38"/>
      <c r="H174" s="38"/>
      <c r="I174" s="38"/>
      <c r="J174" s="51"/>
      <c r="K174" s="63"/>
      <c r="L174" s="63"/>
      <c r="M174" s="63"/>
    </row>
    <row r="175" spans="12:13" ht="13.5">
      <c r="L175" s="63"/>
      <c r="M175" s="63"/>
    </row>
    <row r="176" spans="12:13" ht="13.5">
      <c r="L176" s="63"/>
      <c r="M176" s="63"/>
    </row>
    <row r="177" spans="12:13" ht="13.5">
      <c r="L177" s="63"/>
      <c r="M177" s="63"/>
    </row>
    <row r="178" spans="12:13" ht="13.5">
      <c r="L178" s="63"/>
      <c r="M178" s="63"/>
    </row>
    <row r="179" spans="12:13" ht="13.5">
      <c r="L179" s="63"/>
      <c r="M179" s="63"/>
    </row>
    <row r="180" spans="12:13" ht="13.5">
      <c r="L180" s="63"/>
      <c r="M180" s="63"/>
    </row>
    <row r="181" spans="12:13" ht="13.5">
      <c r="L181" s="63"/>
      <c r="M181" s="63"/>
    </row>
    <row r="182" spans="12:13" ht="13.5">
      <c r="L182" s="63"/>
      <c r="M182" s="63"/>
    </row>
    <row r="183" spans="12:13" ht="13.5">
      <c r="L183" s="63"/>
      <c r="M183" s="63"/>
    </row>
    <row r="184" spans="12:13" ht="13.5">
      <c r="L184" s="63"/>
      <c r="M184" s="63"/>
    </row>
    <row r="185" spans="1:13" ht="13.5">
      <c r="A185" s="18"/>
      <c r="F185" s="18"/>
      <c r="G185" s="18"/>
      <c r="H185" s="18"/>
      <c r="I185" s="18"/>
      <c r="J185" s="18"/>
      <c r="K185" s="63"/>
      <c r="L185" s="63"/>
      <c r="M185" s="63"/>
    </row>
    <row r="186" spans="1:13" ht="13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1:13" ht="13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ht="13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ht="13.5">
      <c r="A189" s="64"/>
      <c r="B189" s="64"/>
      <c r="C189" s="64"/>
      <c r="D189" s="64"/>
      <c r="E189" s="64"/>
      <c r="F189" s="64"/>
      <c r="G189" s="64"/>
      <c r="H189" s="64"/>
      <c r="I189" s="64"/>
      <c r="J189" s="63"/>
      <c r="K189" s="63"/>
      <c r="L189" s="63"/>
      <c r="M189" s="63"/>
    </row>
    <row r="190" spans="1:13" ht="13.5">
      <c r="A190" s="64"/>
      <c r="B190" s="66"/>
      <c r="C190" s="66"/>
      <c r="D190" s="67"/>
      <c r="E190" s="64"/>
      <c r="F190" s="64"/>
      <c r="G190" s="64"/>
      <c r="H190" s="64"/>
      <c r="I190" s="64"/>
      <c r="J190" s="63"/>
      <c r="K190" s="63"/>
      <c r="L190" s="63"/>
      <c r="M190" s="63"/>
    </row>
    <row r="191" spans="1:13" ht="13.5">
      <c r="A191" s="64"/>
      <c r="B191" s="64"/>
      <c r="C191" s="64"/>
      <c r="D191" s="64"/>
      <c r="E191" s="64"/>
      <c r="F191" s="64"/>
      <c r="G191" s="64"/>
      <c r="H191" s="64"/>
      <c r="I191" s="64"/>
      <c r="J191" s="63"/>
      <c r="K191" s="63"/>
      <c r="L191" s="63"/>
      <c r="M191" s="63"/>
    </row>
    <row r="192" spans="1:13" ht="13.5">
      <c r="A192" s="64"/>
      <c r="B192" s="65"/>
      <c r="C192" s="65"/>
      <c r="D192" s="65"/>
      <c r="E192" s="65"/>
      <c r="F192" s="65"/>
      <c r="G192" s="65"/>
      <c r="H192" s="65"/>
      <c r="I192" s="65"/>
      <c r="J192" s="68"/>
      <c r="K192" s="63"/>
      <c r="L192" s="63"/>
      <c r="M192" s="63"/>
    </row>
    <row r="193" spans="1:13" ht="13.5">
      <c r="A193" s="69"/>
      <c r="B193" s="69"/>
      <c r="C193" s="69"/>
      <c r="D193" s="69"/>
      <c r="E193" s="69"/>
      <c r="F193" s="69"/>
      <c r="G193" s="69"/>
      <c r="H193" s="69"/>
      <c r="I193" s="69"/>
      <c r="J193" s="68"/>
      <c r="K193" s="63"/>
      <c r="L193" s="63"/>
      <c r="M193" s="63"/>
    </row>
    <row r="194" spans="1:13" ht="13.5">
      <c r="A194" s="69"/>
      <c r="B194" s="69"/>
      <c r="C194" s="69"/>
      <c r="D194" s="69"/>
      <c r="E194" s="69"/>
      <c r="F194" s="69"/>
      <c r="G194" s="69"/>
      <c r="H194" s="69"/>
      <c r="I194" s="69"/>
      <c r="J194" s="68"/>
      <c r="K194" s="63"/>
      <c r="L194" s="63"/>
      <c r="M194" s="63"/>
    </row>
    <row r="195" spans="1:13" ht="13.5">
      <c r="A195" s="70"/>
      <c r="B195" s="70"/>
      <c r="C195" s="70"/>
      <c r="D195" s="69"/>
      <c r="E195" s="70"/>
      <c r="F195" s="70"/>
      <c r="G195" s="70"/>
      <c r="H195" s="70"/>
      <c r="I195" s="69"/>
      <c r="J195" s="68"/>
      <c r="K195" s="63"/>
      <c r="L195" s="63"/>
      <c r="M195" s="63"/>
    </row>
    <row r="196" spans="1:13" ht="13.5">
      <c r="A196" s="70"/>
      <c r="B196" s="70"/>
      <c r="C196" s="70"/>
      <c r="D196" s="69"/>
      <c r="E196" s="70"/>
      <c r="F196" s="70"/>
      <c r="G196" s="70"/>
      <c r="H196" s="70"/>
      <c r="I196" s="69"/>
      <c r="J196" s="68"/>
      <c r="K196" s="63"/>
      <c r="L196" s="63"/>
      <c r="M196" s="63"/>
    </row>
    <row r="197" spans="1:13" ht="13.5">
      <c r="A197" s="70"/>
      <c r="B197" s="70"/>
      <c r="C197" s="70"/>
      <c r="D197" s="69"/>
      <c r="E197" s="70"/>
      <c r="F197" s="70"/>
      <c r="G197" s="70"/>
      <c r="H197" s="70"/>
      <c r="I197" s="69"/>
      <c r="J197" s="68"/>
      <c r="K197" s="63"/>
      <c r="L197" s="63"/>
      <c r="M197" s="63"/>
    </row>
    <row r="198" spans="1:13" ht="13.5">
      <c r="A198" s="70"/>
      <c r="B198" s="70"/>
      <c r="C198" s="70"/>
      <c r="D198" s="69"/>
      <c r="E198" s="70"/>
      <c r="F198" s="70"/>
      <c r="G198" s="70"/>
      <c r="H198" s="70"/>
      <c r="I198" s="69"/>
      <c r="J198" s="68"/>
      <c r="K198" s="63"/>
      <c r="L198" s="63"/>
      <c r="M198" s="63"/>
    </row>
    <row r="199" spans="1:13" ht="13.5">
      <c r="A199" s="70"/>
      <c r="B199" s="70"/>
      <c r="C199" s="70"/>
      <c r="D199" s="69"/>
      <c r="E199" s="70"/>
      <c r="F199" s="70"/>
      <c r="G199" s="70"/>
      <c r="H199" s="70"/>
      <c r="I199" s="69"/>
      <c r="J199" s="68"/>
      <c r="K199" s="63"/>
      <c r="L199" s="63"/>
      <c r="M199" s="63"/>
    </row>
    <row r="200" spans="1:13" ht="13.5">
      <c r="A200" s="70"/>
      <c r="B200" s="70"/>
      <c r="C200" s="70"/>
      <c r="D200" s="69"/>
      <c r="E200" s="70"/>
      <c r="F200" s="70"/>
      <c r="G200" s="70"/>
      <c r="H200" s="70"/>
      <c r="I200" s="69"/>
      <c r="J200" s="68"/>
      <c r="K200" s="63"/>
      <c r="L200" s="63"/>
      <c r="M200" s="63"/>
    </row>
    <row r="201" spans="1:13" ht="13.5">
      <c r="A201" s="70"/>
      <c r="B201" s="70"/>
      <c r="C201" s="70"/>
      <c r="D201" s="69"/>
      <c r="E201" s="70"/>
      <c r="F201" s="70"/>
      <c r="G201" s="70"/>
      <c r="H201" s="70"/>
      <c r="I201" s="69"/>
      <c r="J201" s="68"/>
      <c r="K201" s="63"/>
      <c r="L201" s="63"/>
      <c r="M201" s="63"/>
    </row>
    <row r="202" spans="1:13" ht="13.5">
      <c r="A202" s="70"/>
      <c r="B202" s="70"/>
      <c r="C202" s="70"/>
      <c r="D202" s="69"/>
      <c r="E202" s="70"/>
      <c r="F202" s="70"/>
      <c r="G202" s="70"/>
      <c r="H202" s="70"/>
      <c r="I202" s="69"/>
      <c r="J202" s="68"/>
      <c r="K202" s="63"/>
      <c r="L202" s="63"/>
      <c r="M202" s="63"/>
    </row>
    <row r="203" spans="1:13" ht="13.5">
      <c r="A203" s="70"/>
      <c r="B203" s="70"/>
      <c r="C203" s="70"/>
      <c r="D203" s="69"/>
      <c r="E203" s="70"/>
      <c r="F203" s="70"/>
      <c r="G203" s="70"/>
      <c r="H203" s="70"/>
      <c r="I203" s="69"/>
      <c r="J203" s="68"/>
      <c r="K203" s="63"/>
      <c r="L203" s="63"/>
      <c r="M203" s="63"/>
    </row>
    <row r="204" spans="1:13" ht="13.5">
      <c r="A204" s="70"/>
      <c r="B204" s="70"/>
      <c r="C204" s="70"/>
      <c r="D204" s="69"/>
      <c r="E204" s="70"/>
      <c r="F204" s="70"/>
      <c r="G204" s="70"/>
      <c r="H204" s="70"/>
      <c r="I204" s="69"/>
      <c r="J204" s="68"/>
      <c r="K204" s="63"/>
      <c r="L204" s="63"/>
      <c r="M204" s="63"/>
    </row>
    <row r="205" spans="1:13" ht="13.5">
      <c r="A205" s="70"/>
      <c r="B205" s="70"/>
      <c r="C205" s="70"/>
      <c r="D205" s="69"/>
      <c r="E205" s="70"/>
      <c r="F205" s="70"/>
      <c r="G205" s="70"/>
      <c r="H205" s="70"/>
      <c r="I205" s="69"/>
      <c r="J205" s="68"/>
      <c r="K205" s="63"/>
      <c r="L205" s="63"/>
      <c r="M205" s="63"/>
    </row>
    <row r="206" spans="1:13" ht="13.5">
      <c r="A206" s="70"/>
      <c r="B206" s="70"/>
      <c r="C206" s="70"/>
      <c r="D206" s="69"/>
      <c r="E206" s="70"/>
      <c r="F206" s="70"/>
      <c r="G206" s="70"/>
      <c r="H206" s="70"/>
      <c r="I206" s="69"/>
      <c r="J206" s="68"/>
      <c r="K206" s="63"/>
      <c r="L206" s="63"/>
      <c r="M206" s="63"/>
    </row>
    <row r="207" spans="1:13" ht="13.5">
      <c r="A207" s="70"/>
      <c r="B207" s="70"/>
      <c r="C207" s="70"/>
      <c r="D207" s="69"/>
      <c r="E207" s="70"/>
      <c r="F207" s="70"/>
      <c r="G207" s="70"/>
      <c r="H207" s="70"/>
      <c r="I207" s="69"/>
      <c r="J207" s="68"/>
      <c r="K207" s="63"/>
      <c r="L207" s="63"/>
      <c r="M207" s="63"/>
    </row>
    <row r="208" spans="1:13" ht="13.5">
      <c r="A208" s="70"/>
      <c r="B208" s="70"/>
      <c r="C208" s="70"/>
      <c r="D208" s="69"/>
      <c r="E208" s="70"/>
      <c r="F208" s="70"/>
      <c r="G208" s="70"/>
      <c r="H208" s="70"/>
      <c r="I208" s="69"/>
      <c r="J208" s="68"/>
      <c r="K208" s="63"/>
      <c r="L208" s="63"/>
      <c r="M208" s="63"/>
    </row>
    <row r="209" spans="1:13" ht="13.5">
      <c r="A209" s="70"/>
      <c r="B209" s="70"/>
      <c r="C209" s="70"/>
      <c r="D209" s="69"/>
      <c r="E209" s="70"/>
      <c r="F209" s="70"/>
      <c r="G209" s="70"/>
      <c r="H209" s="70"/>
      <c r="I209" s="69"/>
      <c r="J209" s="68"/>
      <c r="K209" s="63"/>
      <c r="L209" s="63"/>
      <c r="M209" s="63"/>
    </row>
    <row r="210" spans="1:13" ht="13.5">
      <c r="A210" s="70"/>
      <c r="B210" s="70"/>
      <c r="C210" s="70"/>
      <c r="D210" s="69"/>
      <c r="E210" s="70"/>
      <c r="F210" s="70"/>
      <c r="G210" s="70"/>
      <c r="H210" s="70"/>
      <c r="I210" s="69"/>
      <c r="J210" s="68"/>
      <c r="K210" s="63"/>
      <c r="L210" s="63"/>
      <c r="M210" s="63"/>
    </row>
    <row r="211" spans="1:13" ht="13.5">
      <c r="A211" s="70"/>
      <c r="B211" s="70"/>
      <c r="C211" s="70"/>
      <c r="D211" s="69"/>
      <c r="E211" s="70"/>
      <c r="F211" s="70"/>
      <c r="G211" s="70"/>
      <c r="H211" s="70"/>
      <c r="I211" s="69"/>
      <c r="J211" s="68"/>
      <c r="K211" s="63"/>
      <c r="L211" s="63"/>
      <c r="M211" s="63"/>
    </row>
    <row r="212" spans="1:13" ht="13.5">
      <c r="A212" s="70"/>
      <c r="B212" s="70"/>
      <c r="C212" s="70"/>
      <c r="D212" s="69"/>
      <c r="E212" s="70"/>
      <c r="F212" s="70"/>
      <c r="G212" s="70"/>
      <c r="H212" s="70"/>
      <c r="I212" s="69"/>
      <c r="J212" s="68"/>
      <c r="K212" s="63"/>
      <c r="L212" s="63"/>
      <c r="M212" s="63"/>
    </row>
    <row r="213" spans="1:13" ht="13.5">
      <c r="A213" s="70"/>
      <c r="B213" s="70"/>
      <c r="C213" s="70"/>
      <c r="D213" s="69"/>
      <c r="E213" s="70"/>
      <c r="F213" s="70"/>
      <c r="G213" s="70"/>
      <c r="H213" s="70"/>
      <c r="I213" s="69"/>
      <c r="J213" s="68"/>
      <c r="K213" s="63"/>
      <c r="L213" s="63"/>
      <c r="M213" s="63"/>
    </row>
    <row r="214" spans="1:13" ht="13.5">
      <c r="A214" s="70"/>
      <c r="B214" s="70"/>
      <c r="C214" s="70"/>
      <c r="D214" s="69"/>
      <c r="E214" s="70"/>
      <c r="F214" s="70"/>
      <c r="G214" s="70"/>
      <c r="H214" s="70"/>
      <c r="I214" s="69"/>
      <c r="J214" s="68"/>
      <c r="K214" s="63"/>
      <c r="L214" s="63"/>
      <c r="M214" s="63"/>
    </row>
    <row r="215" spans="1:13" ht="13.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3"/>
      <c r="L215" s="63"/>
      <c r="M215" s="63"/>
    </row>
    <row r="216" spans="1:13" ht="13.5">
      <c r="A216" s="63"/>
      <c r="B216" s="68"/>
      <c r="C216" s="68"/>
      <c r="D216" s="68"/>
      <c r="E216" s="68"/>
      <c r="F216" s="68"/>
      <c r="G216" s="68"/>
      <c r="H216" s="68"/>
      <c r="I216" s="68"/>
      <c r="J216" s="68"/>
      <c r="K216" s="63"/>
      <c r="L216" s="63"/>
      <c r="M216" s="63"/>
    </row>
    <row r="217" spans="1:13" ht="13.5">
      <c r="A217" s="63"/>
      <c r="B217" s="63"/>
      <c r="C217" s="68"/>
      <c r="D217" s="68"/>
      <c r="E217" s="68"/>
      <c r="F217" s="68"/>
      <c r="G217" s="68"/>
      <c r="H217" s="68"/>
      <c r="I217" s="68"/>
      <c r="J217" s="63"/>
      <c r="K217" s="63"/>
      <c r="L217" s="63"/>
      <c r="M217" s="63"/>
    </row>
    <row r="218" spans="1:13" ht="13.5">
      <c r="A218" s="63"/>
      <c r="B218" s="63"/>
      <c r="C218" s="68"/>
      <c r="D218" s="68"/>
      <c r="E218" s="68"/>
      <c r="F218" s="68"/>
      <c r="G218" s="68"/>
      <c r="H218" s="68"/>
      <c r="I218" s="68"/>
      <c r="J218" s="63"/>
      <c r="K218" s="63"/>
      <c r="L218" s="63"/>
      <c r="M218" s="63"/>
    </row>
    <row r="219" spans="1:13" ht="13.5">
      <c r="A219" s="63"/>
      <c r="B219" s="63"/>
      <c r="C219" s="68"/>
      <c r="D219" s="68"/>
      <c r="E219" s="68"/>
      <c r="F219" s="68"/>
      <c r="G219" s="68"/>
      <c r="H219" s="65"/>
      <c r="I219" s="68"/>
      <c r="J219" s="63"/>
      <c r="K219" s="63"/>
      <c r="L219" s="63"/>
      <c r="M219" s="63"/>
    </row>
    <row r="220" spans="1:13" ht="13.5">
      <c r="A220" s="63"/>
      <c r="B220" s="63"/>
      <c r="C220" s="68"/>
      <c r="D220" s="71"/>
      <c r="E220" s="71"/>
      <c r="F220" s="71"/>
      <c r="G220" s="71"/>
      <c r="H220" s="65"/>
      <c r="I220" s="68"/>
      <c r="J220" s="63"/>
      <c r="K220" s="63"/>
      <c r="L220" s="63"/>
      <c r="M220" s="63"/>
    </row>
    <row r="221" spans="1:13" ht="13.5">
      <c r="A221" s="63"/>
      <c r="B221" s="63"/>
      <c r="C221" s="68"/>
      <c r="D221" s="68"/>
      <c r="E221" s="68"/>
      <c r="F221" s="68"/>
      <c r="G221" s="68"/>
      <c r="H221" s="68"/>
      <c r="I221" s="68"/>
      <c r="J221" s="63"/>
      <c r="K221" s="63"/>
      <c r="L221" s="63"/>
      <c r="M221" s="63"/>
    </row>
    <row r="222" spans="1:13" ht="13.5">
      <c r="A222" s="63"/>
      <c r="B222" s="63"/>
      <c r="C222" s="68"/>
      <c r="D222" s="68"/>
      <c r="E222" s="68"/>
      <c r="F222" s="68"/>
      <c r="G222" s="68"/>
      <c r="H222" s="68"/>
      <c r="I222" s="68"/>
      <c r="J222" s="63"/>
      <c r="K222" s="63"/>
      <c r="L222" s="63"/>
      <c r="M222" s="63"/>
    </row>
    <row r="223" spans="1:13" ht="13.5">
      <c r="A223" s="63"/>
      <c r="B223" s="63"/>
      <c r="C223" s="68"/>
      <c r="D223" s="68"/>
      <c r="E223" s="68"/>
      <c r="F223" s="68"/>
      <c r="G223" s="68"/>
      <c r="H223" s="68"/>
      <c r="I223" s="68"/>
      <c r="J223" s="63"/>
      <c r="K223" s="63"/>
      <c r="L223" s="63"/>
      <c r="M223" s="63"/>
    </row>
    <row r="224" spans="1:13" ht="13.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</row>
    <row r="225" spans="1:13" ht="13.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1:13" ht="13.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1:13" ht="13.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ht="13.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1:13" ht="13.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1:13" ht="13.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1:13" ht="13.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1:13" ht="13.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3.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ht="13.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1:13" ht="13.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3" ht="13.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1:13" ht="13.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1:13" ht="13.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1:13" ht="13.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1:13" ht="13.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1:13" ht="13.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1:13" ht="13.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3.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3.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3.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3.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 ht="13.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3.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1:13" ht="13.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1:13" ht="13.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3.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3.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ht="13.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1:13" ht="13.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1:13" ht="13.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1:13" ht="13.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1:13" ht="13.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1:13" ht="13.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3.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1:13" ht="13.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1:13" ht="13.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3.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ht="13.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ht="13.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1:13" ht="13.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1:13" ht="13.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1:13" ht="13.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1:13" ht="13.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1:13" ht="13.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1:13" ht="13.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1:13" ht="13.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ht="13.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1:13" ht="13.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1:13" ht="13.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1:13" ht="13.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1:13" ht="13.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3.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1:13" ht="13.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1:13" ht="13.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1:13" ht="13.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1:13" ht="13.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3.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1:13" ht="13.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3.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3.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3.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1:13" ht="13.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3.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3.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ht="13.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1:13" ht="13.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3.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1:13" ht="13.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ht="13.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1:13" ht="13.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13.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1:13" ht="13.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1:13" ht="13.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1:13" ht="13.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1:13" ht="13.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1:13" ht="13.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1:13" ht="13.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1:13" ht="13.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1:13" ht="13.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3.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ht="13.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1:13" ht="13.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1:13" ht="13.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1:13" ht="13.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1:13" ht="13.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3.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1:13" ht="13.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1:13" ht="13.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1:13" ht="13.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1:13" ht="13.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1:13" ht="13.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3.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1:13" ht="13.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1:13" ht="13.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3.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1:13" ht="13.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1:13" ht="13.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1:13" ht="13.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1:13" ht="13.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1:13" ht="13.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1:13" ht="13.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1:13" ht="13.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1:13" ht="13.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1:13" ht="13.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1:13" ht="13.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1:13" ht="13.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1:13" ht="13.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1:13" ht="13.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1:13" ht="13.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3.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3.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3.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1:13" ht="13.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1:13" ht="13.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1:13" ht="13.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1:13" ht="13.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1:13" ht="13.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1:13" ht="13.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1:13" ht="13.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1:13" ht="13.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1:13" ht="13.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1:13" ht="13.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3.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1:13" ht="13.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1:13" ht="13.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1:13" ht="13.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1:13" ht="13.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1:13" ht="13.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1:13" ht="13.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1:13" ht="13.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ht="13.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1:13" ht="13.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1:13" ht="13.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1:13" ht="13.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1:13" ht="13.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1:13" ht="13.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1:13" ht="13.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3.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1:13" ht="13.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1:13" ht="13.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1:13" ht="13.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1:13" ht="13.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1:13" ht="13.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1:13" ht="13.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1:13" ht="13.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1:13" ht="13.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1:13" ht="13.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1:13" ht="13.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1:13" ht="13.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1:13" ht="13.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1:13" ht="13.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1:13" ht="13.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ht="13.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1:13" ht="13.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3.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1:13" ht="13.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1:13" ht="13.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1:13" ht="13.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1:13" ht="13.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1:13" ht="13.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1:13" ht="13.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1:13" ht="13.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1:13" ht="13.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3.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1:13" ht="13.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3.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1:13" ht="13.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1:13" ht="13.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1:13" ht="13.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1:13" ht="13.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1:13" ht="13.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1:13" ht="13.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1:13" ht="13.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1:13" ht="13.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1:13" ht="13.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1:13" ht="13.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1:13" ht="13.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1:13" ht="13.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1:13" ht="13.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1:13" ht="13.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1:13" ht="13.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1:13" ht="13.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1:13" ht="13.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1:13" ht="13.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1:13" ht="13.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1:13" ht="13.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1:13" ht="13.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1:13" ht="13.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1:13" ht="13.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3.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1:13" ht="13.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1:13" ht="13.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1:13" ht="13.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1:13" ht="13.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1:13" ht="13.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1:13" ht="13.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1:13" ht="13.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1:13" ht="13.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3.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11:13" ht="13.5">
      <c r="K425" s="63"/>
      <c r="L425" s="63"/>
      <c r="M425" s="63"/>
    </row>
    <row r="426" spans="11:13" ht="13.5">
      <c r="K426" s="63"/>
      <c r="L426" s="63"/>
      <c r="M426" s="63"/>
    </row>
    <row r="427" spans="12:13" ht="13.5">
      <c r="L427" s="63"/>
      <c r="M427" s="63"/>
    </row>
    <row r="428" spans="12:13" ht="13.5">
      <c r="L428" s="63"/>
      <c r="M428" s="63"/>
    </row>
    <row r="429" spans="12:13" ht="13.5">
      <c r="L429" s="63"/>
      <c r="M429" s="63"/>
    </row>
    <row r="430" spans="12:13" ht="13.5">
      <c r="L430" s="63"/>
      <c r="M430" s="63"/>
    </row>
    <row r="431" spans="12:13" ht="13.5">
      <c r="L431" s="63"/>
      <c r="M431" s="63"/>
    </row>
  </sheetData>
  <sheetProtection password="CD1C" sheet="1" objects="1" scenarios="1" selectLockedCells="1"/>
  <mergeCells count="10">
    <mergeCell ref="C1:H2"/>
    <mergeCell ref="F30:G30"/>
    <mergeCell ref="C114:D115"/>
    <mergeCell ref="E114:F115"/>
    <mergeCell ref="I71:J71"/>
    <mergeCell ref="I75:J75"/>
    <mergeCell ref="I76:J76"/>
    <mergeCell ref="I72:J72"/>
    <mergeCell ref="I73:J73"/>
    <mergeCell ref="I74:J74"/>
  </mergeCells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80271" r:id="rId2"/>
    <oleObject progId="Visio.Drawing.6" shapeId="180272" r:id="rId3"/>
    <oleObject progId="Visio.Drawing.6" shapeId="18027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F50" sqref="F50"/>
    </sheetView>
  </sheetViews>
  <sheetFormatPr defaultColWidth="8.88671875" defaultRowHeight="13.5"/>
  <cols>
    <col min="1" max="1" width="13.77734375" style="266" customWidth="1"/>
    <col min="2" max="2" width="13.77734375" style="265" customWidth="1"/>
    <col min="3" max="4" width="6.77734375" style="267" customWidth="1"/>
    <col min="5" max="7" width="8.88671875" style="267" customWidth="1"/>
    <col min="8" max="8" width="6.77734375" style="267" customWidth="1"/>
    <col min="9" max="13" width="7.77734375" style="267" customWidth="1"/>
    <col min="14" max="14" width="9.5546875" style="268" customWidth="1"/>
    <col min="15" max="15" width="9.4453125" style="268" bestFit="1" customWidth="1"/>
    <col min="16" max="16" width="12.99609375" style="267" bestFit="1" customWidth="1"/>
    <col min="17" max="17" width="13.88671875" style="267" customWidth="1"/>
    <col min="18" max="18" width="24.5546875" style="267" bestFit="1" customWidth="1"/>
    <col min="19" max="19" width="10.6640625" style="267" customWidth="1"/>
    <col min="20" max="20" width="10.21484375" style="267" customWidth="1"/>
    <col min="21" max="16384" width="8.88671875" style="267" customWidth="1"/>
  </cols>
  <sheetData>
    <row r="1" spans="1:20" s="104" customFormat="1" ht="13.5" customHeight="1">
      <c r="A1" s="306" t="s">
        <v>221</v>
      </c>
      <c r="B1" s="316" t="s">
        <v>222</v>
      </c>
      <c r="C1" s="309" t="s">
        <v>223</v>
      </c>
      <c r="D1" s="310"/>
      <c r="E1" s="310"/>
      <c r="F1" s="310"/>
      <c r="G1" s="310"/>
      <c r="H1" s="311"/>
      <c r="I1" s="309" t="s">
        <v>224</v>
      </c>
      <c r="J1" s="310"/>
      <c r="K1" s="310"/>
      <c r="L1" s="311"/>
      <c r="M1" s="319" t="s">
        <v>225</v>
      </c>
      <c r="N1" s="306" t="s">
        <v>226</v>
      </c>
      <c r="O1" s="312" t="s">
        <v>227</v>
      </c>
      <c r="P1" s="311" t="s">
        <v>228</v>
      </c>
      <c r="Q1" s="312" t="s">
        <v>229</v>
      </c>
      <c r="R1" s="311" t="s">
        <v>230</v>
      </c>
      <c r="S1" s="324"/>
      <c r="T1" s="324"/>
    </row>
    <row r="2" spans="1:20" s="104" customFormat="1" ht="24.75" customHeight="1">
      <c r="A2" s="307"/>
      <c r="B2" s="317"/>
      <c r="C2" s="314" t="s">
        <v>231</v>
      </c>
      <c r="D2" s="314" t="s">
        <v>232</v>
      </c>
      <c r="E2" s="314" t="s">
        <v>233</v>
      </c>
      <c r="F2" s="312"/>
      <c r="G2" s="312" t="s">
        <v>115</v>
      </c>
      <c r="H2" s="312" t="s">
        <v>234</v>
      </c>
      <c r="I2" s="322" t="s">
        <v>235</v>
      </c>
      <c r="J2" s="322" t="s">
        <v>236</v>
      </c>
      <c r="K2" s="322" t="s">
        <v>237</v>
      </c>
      <c r="L2" s="322" t="s">
        <v>238</v>
      </c>
      <c r="M2" s="320"/>
      <c r="N2" s="307"/>
      <c r="O2" s="328"/>
      <c r="P2" s="326"/>
      <c r="Q2" s="326"/>
      <c r="R2" s="326"/>
      <c r="S2" s="325"/>
      <c r="T2" s="325"/>
    </row>
    <row r="3" spans="1:20" s="104" customFormat="1" ht="13.5" customHeight="1">
      <c r="A3" s="308"/>
      <c r="B3" s="318"/>
      <c r="C3" s="315"/>
      <c r="D3" s="315"/>
      <c r="E3" s="105" t="s">
        <v>239</v>
      </c>
      <c r="F3" s="105" t="s">
        <v>240</v>
      </c>
      <c r="G3" s="313"/>
      <c r="H3" s="313"/>
      <c r="I3" s="323"/>
      <c r="J3" s="323"/>
      <c r="K3" s="323"/>
      <c r="L3" s="323"/>
      <c r="M3" s="321"/>
      <c r="N3" s="308"/>
      <c r="O3" s="313"/>
      <c r="P3" s="327"/>
      <c r="Q3" s="327"/>
      <c r="R3" s="327"/>
      <c r="S3" s="325"/>
      <c r="T3" s="325"/>
    </row>
    <row r="4" spans="1:18" s="112" customFormat="1" ht="15">
      <c r="A4" s="108" t="s">
        <v>241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8"/>
      <c r="P4" s="108"/>
      <c r="Q4" s="110"/>
      <c r="R4" s="111"/>
    </row>
    <row r="5" spans="1:18" s="120" customFormat="1" ht="12.75">
      <c r="A5" s="113" t="s">
        <v>242</v>
      </c>
      <c r="B5" s="114" t="s">
        <v>243</v>
      </c>
      <c r="C5" s="115">
        <v>800</v>
      </c>
      <c r="D5" s="116">
        <v>1.2</v>
      </c>
      <c r="E5" s="115">
        <v>25</v>
      </c>
      <c r="F5" s="116">
        <v>30</v>
      </c>
      <c r="G5" s="115">
        <v>67</v>
      </c>
      <c r="H5" s="117">
        <v>7</v>
      </c>
      <c r="I5" s="115" t="s">
        <v>116</v>
      </c>
      <c r="J5" s="115" t="s">
        <v>117</v>
      </c>
      <c r="K5" s="115" t="s">
        <v>116</v>
      </c>
      <c r="L5" s="115" t="s">
        <v>116</v>
      </c>
      <c r="M5" s="115" t="s">
        <v>117</v>
      </c>
      <c r="N5" s="115" t="s">
        <v>244</v>
      </c>
      <c r="O5" s="106" t="s">
        <v>245</v>
      </c>
      <c r="P5" s="118" t="s">
        <v>246</v>
      </c>
      <c r="Q5" s="332" t="s">
        <v>247</v>
      </c>
      <c r="R5" s="119"/>
    </row>
    <row r="6" spans="1:18" s="120" customFormat="1" ht="12.75" customHeight="1">
      <c r="A6" s="113" t="s">
        <v>248</v>
      </c>
      <c r="B6" s="114" t="s">
        <v>249</v>
      </c>
      <c r="C6" s="115">
        <v>800</v>
      </c>
      <c r="D6" s="115">
        <v>2.15</v>
      </c>
      <c r="E6" s="115">
        <v>40</v>
      </c>
      <c r="F6" s="115">
        <v>50</v>
      </c>
      <c r="G6" s="115" t="s">
        <v>250</v>
      </c>
      <c r="H6" s="117">
        <v>5</v>
      </c>
      <c r="I6" s="115" t="s">
        <v>116</v>
      </c>
      <c r="J6" s="115" t="s">
        <v>117</v>
      </c>
      <c r="K6" s="115" t="s">
        <v>116</v>
      </c>
      <c r="L6" s="115" t="s">
        <v>116</v>
      </c>
      <c r="M6" s="115" t="s">
        <v>117</v>
      </c>
      <c r="N6" s="115" t="s">
        <v>244</v>
      </c>
      <c r="O6" s="121" t="s">
        <v>251</v>
      </c>
      <c r="P6" s="122" t="s">
        <v>252</v>
      </c>
      <c r="Q6" s="333"/>
      <c r="R6" s="124"/>
    </row>
    <row r="7" spans="1:18" s="120" customFormat="1" ht="12.75">
      <c r="A7" s="113" t="s">
        <v>253</v>
      </c>
      <c r="B7" s="114" t="s">
        <v>254</v>
      </c>
      <c r="C7" s="115">
        <v>800</v>
      </c>
      <c r="D7" s="117">
        <v>4</v>
      </c>
      <c r="E7" s="115">
        <v>80</v>
      </c>
      <c r="F7" s="115">
        <v>100</v>
      </c>
      <c r="G7" s="115" t="s">
        <v>255</v>
      </c>
      <c r="H7" s="117">
        <v>2</v>
      </c>
      <c r="I7" s="115" t="s">
        <v>118</v>
      </c>
      <c r="J7" s="115" t="s">
        <v>117</v>
      </c>
      <c r="K7" s="115" t="s">
        <v>118</v>
      </c>
      <c r="L7" s="115" t="s">
        <v>118</v>
      </c>
      <c r="M7" s="115" t="s">
        <v>119</v>
      </c>
      <c r="N7" s="115" t="s">
        <v>256</v>
      </c>
      <c r="O7" s="356" t="s">
        <v>257</v>
      </c>
      <c r="P7" s="331" t="s">
        <v>258</v>
      </c>
      <c r="Q7" s="349" t="s">
        <v>259</v>
      </c>
      <c r="R7" s="124"/>
    </row>
    <row r="8" spans="1:18" s="120" customFormat="1" ht="12.75">
      <c r="A8" s="126" t="s">
        <v>260</v>
      </c>
      <c r="B8" s="127" t="s">
        <v>254</v>
      </c>
      <c r="C8" s="128">
        <v>800</v>
      </c>
      <c r="D8" s="129">
        <v>4</v>
      </c>
      <c r="E8" s="128">
        <v>80</v>
      </c>
      <c r="F8" s="128">
        <v>100</v>
      </c>
      <c r="G8" s="128">
        <v>100</v>
      </c>
      <c r="H8" s="129">
        <v>2</v>
      </c>
      <c r="I8" s="128" t="s">
        <v>116</v>
      </c>
      <c r="J8" s="128" t="s">
        <v>117</v>
      </c>
      <c r="K8" s="128" t="s">
        <v>116</v>
      </c>
      <c r="L8" s="128" t="s">
        <v>116</v>
      </c>
      <c r="M8" s="128" t="s">
        <v>119</v>
      </c>
      <c r="N8" s="128" t="s">
        <v>122</v>
      </c>
      <c r="O8" s="356"/>
      <c r="P8" s="331"/>
      <c r="Q8" s="349"/>
      <c r="R8" s="124"/>
    </row>
    <row r="9" spans="1:18" s="120" customFormat="1" ht="12.75">
      <c r="A9" s="130" t="s">
        <v>261</v>
      </c>
      <c r="B9" s="131" t="s">
        <v>254</v>
      </c>
      <c r="C9" s="132">
        <v>800</v>
      </c>
      <c r="D9" s="133">
        <v>4</v>
      </c>
      <c r="E9" s="132">
        <v>80</v>
      </c>
      <c r="F9" s="132">
        <v>100</v>
      </c>
      <c r="G9" s="132">
        <v>67</v>
      </c>
      <c r="H9" s="133">
        <v>2</v>
      </c>
      <c r="I9" s="132" t="s">
        <v>116</v>
      </c>
      <c r="J9" s="132" t="s">
        <v>117</v>
      </c>
      <c r="K9" s="132" t="s">
        <v>116</v>
      </c>
      <c r="L9" s="132" t="s">
        <v>116</v>
      </c>
      <c r="M9" s="132" t="s">
        <v>119</v>
      </c>
      <c r="N9" s="132" t="s">
        <v>256</v>
      </c>
      <c r="O9" s="356"/>
      <c r="P9" s="331"/>
      <c r="Q9" s="349"/>
      <c r="R9" s="124"/>
    </row>
    <row r="10" spans="1:18" s="120" customFormat="1" ht="12.75">
      <c r="A10" s="113" t="s">
        <v>262</v>
      </c>
      <c r="B10" s="114" t="s">
        <v>263</v>
      </c>
      <c r="C10" s="115">
        <v>800</v>
      </c>
      <c r="D10" s="117">
        <v>5</v>
      </c>
      <c r="E10" s="115">
        <v>110</v>
      </c>
      <c r="F10" s="115">
        <v>130</v>
      </c>
      <c r="G10" s="115">
        <v>67</v>
      </c>
      <c r="H10" s="115">
        <v>1.5</v>
      </c>
      <c r="I10" s="115" t="s">
        <v>118</v>
      </c>
      <c r="J10" s="115" t="s">
        <v>117</v>
      </c>
      <c r="K10" s="115" t="s">
        <v>118</v>
      </c>
      <c r="L10" s="115" t="s">
        <v>118</v>
      </c>
      <c r="M10" s="115" t="s">
        <v>119</v>
      </c>
      <c r="N10" s="115" t="s">
        <v>264</v>
      </c>
      <c r="O10" s="356" t="s">
        <v>257</v>
      </c>
      <c r="P10" s="331" t="s">
        <v>258</v>
      </c>
      <c r="Q10" s="349"/>
      <c r="R10" s="134"/>
    </row>
    <row r="11" spans="1:18" s="120" customFormat="1" ht="12.75">
      <c r="A11" s="126" t="s">
        <v>265</v>
      </c>
      <c r="B11" s="127" t="s">
        <v>263</v>
      </c>
      <c r="C11" s="128">
        <v>800</v>
      </c>
      <c r="D11" s="129">
        <v>5</v>
      </c>
      <c r="E11" s="128">
        <v>110</v>
      </c>
      <c r="F11" s="128">
        <v>130</v>
      </c>
      <c r="G11" s="128">
        <v>67</v>
      </c>
      <c r="H11" s="128">
        <v>1.5</v>
      </c>
      <c r="I11" s="128" t="s">
        <v>118</v>
      </c>
      <c r="J11" s="128" t="s">
        <v>117</v>
      </c>
      <c r="K11" s="128" t="s">
        <v>118</v>
      </c>
      <c r="L11" s="128" t="s">
        <v>118</v>
      </c>
      <c r="M11" s="128" t="s">
        <v>119</v>
      </c>
      <c r="N11" s="128" t="s">
        <v>120</v>
      </c>
      <c r="O11" s="356"/>
      <c r="P11" s="331"/>
      <c r="Q11" s="349"/>
      <c r="R11" s="135" t="s">
        <v>266</v>
      </c>
    </row>
    <row r="12" spans="1:18" s="120" customFormat="1" ht="12.75" customHeight="1">
      <c r="A12" s="113" t="s">
        <v>267</v>
      </c>
      <c r="B12" s="114" t="s">
        <v>268</v>
      </c>
      <c r="C12" s="115">
        <v>800</v>
      </c>
      <c r="D12" s="117">
        <v>4</v>
      </c>
      <c r="E12" s="115">
        <v>80</v>
      </c>
      <c r="F12" s="115">
        <v>100</v>
      </c>
      <c r="G12" s="115" t="s">
        <v>269</v>
      </c>
      <c r="H12" s="117">
        <v>2</v>
      </c>
      <c r="I12" s="115" t="s">
        <v>118</v>
      </c>
      <c r="J12" s="115" t="s">
        <v>117</v>
      </c>
      <c r="K12" s="115" t="s">
        <v>118</v>
      </c>
      <c r="L12" s="115" t="s">
        <v>118</v>
      </c>
      <c r="M12" s="115" t="s">
        <v>119</v>
      </c>
      <c r="N12" s="115" t="s">
        <v>256</v>
      </c>
      <c r="O12" s="136" t="s">
        <v>270</v>
      </c>
      <c r="P12" s="125" t="s">
        <v>271</v>
      </c>
      <c r="Q12" s="122" t="s">
        <v>272</v>
      </c>
      <c r="R12" s="124"/>
    </row>
    <row r="13" spans="1:18" s="120" customFormat="1" ht="12.75">
      <c r="A13" s="113" t="s">
        <v>273</v>
      </c>
      <c r="B13" s="114" t="s">
        <v>274</v>
      </c>
      <c r="C13" s="115">
        <v>800</v>
      </c>
      <c r="D13" s="117">
        <v>4</v>
      </c>
      <c r="E13" s="115">
        <v>80</v>
      </c>
      <c r="F13" s="115">
        <v>100</v>
      </c>
      <c r="G13" s="115" t="s">
        <v>269</v>
      </c>
      <c r="H13" s="117">
        <v>2</v>
      </c>
      <c r="I13" s="115" t="s">
        <v>116</v>
      </c>
      <c r="J13" s="115" t="s">
        <v>117</v>
      </c>
      <c r="K13" s="115" t="s">
        <v>116</v>
      </c>
      <c r="L13" s="115" t="s">
        <v>116</v>
      </c>
      <c r="M13" s="115" t="s">
        <v>119</v>
      </c>
      <c r="N13" s="115" t="s">
        <v>275</v>
      </c>
      <c r="O13" s="329" t="s">
        <v>276</v>
      </c>
      <c r="P13" s="331" t="s">
        <v>277</v>
      </c>
      <c r="Q13" s="349" t="s">
        <v>278</v>
      </c>
      <c r="R13" s="124"/>
    </row>
    <row r="14" spans="1:18" s="120" customFormat="1" ht="12.75">
      <c r="A14" s="130" t="s">
        <v>279</v>
      </c>
      <c r="B14" s="131" t="s">
        <v>280</v>
      </c>
      <c r="C14" s="132">
        <v>800</v>
      </c>
      <c r="D14" s="133">
        <v>5</v>
      </c>
      <c r="E14" s="132">
        <v>110</v>
      </c>
      <c r="F14" s="132">
        <v>130</v>
      </c>
      <c r="G14" s="132" t="s">
        <v>269</v>
      </c>
      <c r="H14" s="132">
        <v>1.5</v>
      </c>
      <c r="I14" s="132" t="s">
        <v>116</v>
      </c>
      <c r="J14" s="132" t="s">
        <v>117</v>
      </c>
      <c r="K14" s="132" t="s">
        <v>116</v>
      </c>
      <c r="L14" s="132" t="s">
        <v>116</v>
      </c>
      <c r="M14" s="132" t="s">
        <v>119</v>
      </c>
      <c r="N14" s="132" t="s">
        <v>275</v>
      </c>
      <c r="O14" s="330"/>
      <c r="P14" s="331"/>
      <c r="Q14" s="349"/>
      <c r="R14" s="137"/>
    </row>
    <row r="15" spans="1:18" s="112" customFormat="1" ht="15">
      <c r="A15" s="338" t="s">
        <v>281</v>
      </c>
      <c r="B15" s="339"/>
      <c r="C15" s="339"/>
      <c r="D15" s="340"/>
      <c r="E15" s="138"/>
      <c r="F15" s="138"/>
      <c r="G15" s="138"/>
      <c r="H15" s="138"/>
      <c r="I15" s="139"/>
      <c r="J15" s="139"/>
      <c r="K15" s="139"/>
      <c r="L15" s="139"/>
      <c r="M15" s="139"/>
      <c r="N15" s="140"/>
      <c r="O15" s="111"/>
      <c r="P15" s="138"/>
      <c r="Q15" s="141"/>
      <c r="R15" s="138"/>
    </row>
    <row r="16" spans="1:18" s="120" customFormat="1" ht="12.75" customHeight="1">
      <c r="A16" s="113" t="s">
        <v>282</v>
      </c>
      <c r="B16" s="114" t="s">
        <v>283</v>
      </c>
      <c r="C16" s="115">
        <v>650</v>
      </c>
      <c r="D16" s="115">
        <v>0.6</v>
      </c>
      <c r="E16" s="115">
        <v>10</v>
      </c>
      <c r="F16" s="115">
        <v>10</v>
      </c>
      <c r="G16" s="115">
        <v>100</v>
      </c>
      <c r="H16" s="115">
        <v>10</v>
      </c>
      <c r="I16" s="115" t="s">
        <v>116</v>
      </c>
      <c r="J16" s="115" t="s">
        <v>117</v>
      </c>
      <c r="K16" s="115" t="s">
        <v>116</v>
      </c>
      <c r="L16" s="115" t="s">
        <v>116</v>
      </c>
      <c r="M16" s="115" t="s">
        <v>119</v>
      </c>
      <c r="N16" s="115" t="s">
        <v>284</v>
      </c>
      <c r="O16" s="106" t="s">
        <v>285</v>
      </c>
      <c r="P16" s="341" t="s">
        <v>286</v>
      </c>
      <c r="Q16" s="332" t="s">
        <v>287</v>
      </c>
      <c r="R16" s="142"/>
    </row>
    <row r="17" spans="1:18" s="120" customFormat="1" ht="12.75">
      <c r="A17" s="130" t="s">
        <v>288</v>
      </c>
      <c r="B17" s="131" t="s">
        <v>289</v>
      </c>
      <c r="C17" s="132">
        <v>650</v>
      </c>
      <c r="D17" s="132">
        <v>0.6</v>
      </c>
      <c r="E17" s="132">
        <v>15</v>
      </c>
      <c r="F17" s="132">
        <v>15</v>
      </c>
      <c r="G17" s="132">
        <v>100</v>
      </c>
      <c r="H17" s="132">
        <v>10</v>
      </c>
      <c r="I17" s="132" t="s">
        <v>116</v>
      </c>
      <c r="J17" s="132" t="s">
        <v>117</v>
      </c>
      <c r="K17" s="132" t="s">
        <v>116</v>
      </c>
      <c r="L17" s="132" t="s">
        <v>116</v>
      </c>
      <c r="M17" s="132" t="s">
        <v>117</v>
      </c>
      <c r="N17" s="132" t="s">
        <v>244</v>
      </c>
      <c r="O17" s="107" t="s">
        <v>290</v>
      </c>
      <c r="P17" s="342"/>
      <c r="Q17" s="351"/>
      <c r="R17" s="143"/>
    </row>
    <row r="18" spans="1:18" s="120" customFormat="1" ht="12.75">
      <c r="A18" s="126" t="s">
        <v>291</v>
      </c>
      <c r="B18" s="127" t="s">
        <v>292</v>
      </c>
      <c r="C18" s="128">
        <v>650</v>
      </c>
      <c r="D18" s="128">
        <v>1.2</v>
      </c>
      <c r="E18" s="128">
        <v>25</v>
      </c>
      <c r="F18" s="128">
        <v>30</v>
      </c>
      <c r="G18" s="128">
        <v>67</v>
      </c>
      <c r="H18" s="129">
        <v>6</v>
      </c>
      <c r="I18" s="128" t="s">
        <v>116</v>
      </c>
      <c r="J18" s="128" t="s">
        <v>117</v>
      </c>
      <c r="K18" s="128" t="s">
        <v>116</v>
      </c>
      <c r="L18" s="128" t="s">
        <v>116</v>
      </c>
      <c r="M18" s="128" t="s">
        <v>117</v>
      </c>
      <c r="N18" s="128" t="s">
        <v>244</v>
      </c>
      <c r="O18" s="136" t="s">
        <v>245</v>
      </c>
      <c r="P18" s="123" t="s">
        <v>293</v>
      </c>
      <c r="Q18" s="304" t="s">
        <v>247</v>
      </c>
      <c r="R18" s="143"/>
    </row>
    <row r="19" spans="1:18" s="120" customFormat="1" ht="12.75">
      <c r="A19" s="144" t="s">
        <v>294</v>
      </c>
      <c r="B19" s="145" t="s">
        <v>295</v>
      </c>
      <c r="C19" s="125">
        <v>650</v>
      </c>
      <c r="D19" s="125">
        <v>2.15</v>
      </c>
      <c r="E19" s="125">
        <v>40</v>
      </c>
      <c r="F19" s="125">
        <v>50</v>
      </c>
      <c r="G19" s="125">
        <v>67</v>
      </c>
      <c r="H19" s="125">
        <v>4.5</v>
      </c>
      <c r="I19" s="125" t="s">
        <v>116</v>
      </c>
      <c r="J19" s="125" t="s">
        <v>117</v>
      </c>
      <c r="K19" s="125" t="s">
        <v>116</v>
      </c>
      <c r="L19" s="125" t="s">
        <v>116</v>
      </c>
      <c r="M19" s="125" t="s">
        <v>117</v>
      </c>
      <c r="N19" s="125" t="s">
        <v>244</v>
      </c>
      <c r="O19" s="121" t="s">
        <v>251</v>
      </c>
      <c r="P19" s="122" t="s">
        <v>296</v>
      </c>
      <c r="Q19" s="304"/>
      <c r="R19" s="143"/>
    </row>
    <row r="20" spans="1:18" s="120" customFormat="1" ht="12.75">
      <c r="A20" s="113" t="s">
        <v>297</v>
      </c>
      <c r="B20" s="127" t="s">
        <v>298</v>
      </c>
      <c r="C20" s="128">
        <v>650</v>
      </c>
      <c r="D20" s="128">
        <v>3.5</v>
      </c>
      <c r="E20" s="128">
        <v>50</v>
      </c>
      <c r="F20" s="128">
        <v>60</v>
      </c>
      <c r="G20" s="128" t="s">
        <v>255</v>
      </c>
      <c r="H20" s="128">
        <v>2.2</v>
      </c>
      <c r="I20" s="128" t="s">
        <v>116</v>
      </c>
      <c r="J20" s="128" t="s">
        <v>117</v>
      </c>
      <c r="K20" s="128" t="s">
        <v>116</v>
      </c>
      <c r="L20" s="128" t="s">
        <v>116</v>
      </c>
      <c r="M20" s="128" t="s">
        <v>117</v>
      </c>
      <c r="N20" s="128" t="s">
        <v>244</v>
      </c>
      <c r="O20" s="136" t="s">
        <v>299</v>
      </c>
      <c r="P20" s="123" t="s">
        <v>300</v>
      </c>
      <c r="Q20" s="304"/>
      <c r="R20" s="143"/>
    </row>
    <row r="21" spans="1:18" s="120" customFormat="1" ht="12.75">
      <c r="A21" s="113" t="s">
        <v>301</v>
      </c>
      <c r="B21" s="114" t="s">
        <v>302</v>
      </c>
      <c r="C21" s="115">
        <v>650</v>
      </c>
      <c r="D21" s="117">
        <v>5</v>
      </c>
      <c r="E21" s="115">
        <v>100</v>
      </c>
      <c r="F21" s="115">
        <v>120</v>
      </c>
      <c r="G21" s="115">
        <v>67</v>
      </c>
      <c r="H21" s="115">
        <v>1.6</v>
      </c>
      <c r="I21" s="115" t="s">
        <v>116</v>
      </c>
      <c r="J21" s="115" t="s">
        <v>117</v>
      </c>
      <c r="K21" s="115" t="s">
        <v>116</v>
      </c>
      <c r="L21" s="115" t="s">
        <v>116</v>
      </c>
      <c r="M21" s="115" t="s">
        <v>119</v>
      </c>
      <c r="N21" s="115" t="s">
        <v>256</v>
      </c>
      <c r="O21" s="341" t="s">
        <v>257</v>
      </c>
      <c r="P21" s="341" t="s">
        <v>303</v>
      </c>
      <c r="Q21" s="341" t="s">
        <v>304</v>
      </c>
      <c r="R21" s="143"/>
    </row>
    <row r="22" spans="1:18" s="120" customFormat="1" ht="13.5" customHeight="1">
      <c r="A22" s="130" t="s">
        <v>305</v>
      </c>
      <c r="B22" s="131" t="s">
        <v>306</v>
      </c>
      <c r="C22" s="132">
        <v>650</v>
      </c>
      <c r="D22" s="133">
        <v>6</v>
      </c>
      <c r="E22" s="132">
        <v>120</v>
      </c>
      <c r="F22" s="132">
        <v>145</v>
      </c>
      <c r="G22" s="132">
        <v>67</v>
      </c>
      <c r="H22" s="132">
        <v>1.2</v>
      </c>
      <c r="I22" s="132" t="s">
        <v>116</v>
      </c>
      <c r="J22" s="132" t="s">
        <v>117</v>
      </c>
      <c r="K22" s="132" t="s">
        <v>116</v>
      </c>
      <c r="L22" s="132" t="s">
        <v>116</v>
      </c>
      <c r="M22" s="132" t="s">
        <v>119</v>
      </c>
      <c r="N22" s="132" t="s">
        <v>256</v>
      </c>
      <c r="O22" s="342"/>
      <c r="P22" s="342"/>
      <c r="Q22" s="342"/>
      <c r="R22" s="143"/>
    </row>
    <row r="23" spans="1:18" s="112" customFormat="1" ht="15">
      <c r="A23" s="300" t="s">
        <v>307</v>
      </c>
      <c r="B23" s="300"/>
      <c r="C23" s="300"/>
      <c r="D23" s="300"/>
      <c r="E23" s="146"/>
      <c r="F23" s="146"/>
      <c r="G23" s="146"/>
      <c r="H23" s="146"/>
      <c r="I23" s="147"/>
      <c r="J23" s="147"/>
      <c r="K23" s="147"/>
      <c r="L23" s="147"/>
      <c r="M23" s="147"/>
      <c r="N23" s="148"/>
      <c r="O23" s="149"/>
      <c r="P23" s="146"/>
      <c r="Q23" s="150"/>
      <c r="R23" s="138"/>
    </row>
    <row r="24" spans="1:19" s="104" customFormat="1" ht="13.5">
      <c r="A24" s="151" t="s">
        <v>243</v>
      </c>
      <c r="B24" s="152"/>
      <c r="C24" s="153">
        <v>800</v>
      </c>
      <c r="D24" s="153">
        <v>1.2</v>
      </c>
      <c r="E24" s="153">
        <v>25</v>
      </c>
      <c r="F24" s="153">
        <v>30</v>
      </c>
      <c r="G24" s="153" t="s">
        <v>255</v>
      </c>
      <c r="H24" s="154">
        <v>7</v>
      </c>
      <c r="I24" s="153" t="s">
        <v>116</v>
      </c>
      <c r="J24" s="153" t="s">
        <v>308</v>
      </c>
      <c r="K24" s="153" t="s">
        <v>116</v>
      </c>
      <c r="L24" s="153" t="s">
        <v>116</v>
      </c>
      <c r="M24" s="153" t="s">
        <v>117</v>
      </c>
      <c r="N24" s="153" t="s">
        <v>244</v>
      </c>
      <c r="O24" s="155" t="s">
        <v>245</v>
      </c>
      <c r="P24" s="156" t="s">
        <v>246</v>
      </c>
      <c r="Q24" s="303" t="s">
        <v>247</v>
      </c>
      <c r="R24" s="157"/>
      <c r="S24" s="158"/>
    </row>
    <row r="25" spans="1:18" s="104" customFormat="1" ht="12.75">
      <c r="A25" s="151" t="s">
        <v>249</v>
      </c>
      <c r="B25" s="152"/>
      <c r="C25" s="153">
        <v>800</v>
      </c>
      <c r="D25" s="153">
        <v>2.15</v>
      </c>
      <c r="E25" s="153">
        <v>40</v>
      </c>
      <c r="F25" s="153">
        <v>50</v>
      </c>
      <c r="G25" s="153" t="s">
        <v>309</v>
      </c>
      <c r="H25" s="154">
        <v>5</v>
      </c>
      <c r="I25" s="153" t="s">
        <v>116</v>
      </c>
      <c r="J25" s="153" t="s">
        <v>308</v>
      </c>
      <c r="K25" s="153" t="s">
        <v>116</v>
      </c>
      <c r="L25" s="153" t="s">
        <v>116</v>
      </c>
      <c r="M25" s="153" t="s">
        <v>117</v>
      </c>
      <c r="N25" s="153" t="s">
        <v>244</v>
      </c>
      <c r="O25" s="155" t="s">
        <v>251</v>
      </c>
      <c r="P25" s="156" t="s">
        <v>296</v>
      </c>
      <c r="Q25" s="304"/>
      <c r="R25" s="159"/>
    </row>
    <row r="26" spans="1:18" s="104" customFormat="1" ht="12.75">
      <c r="A26" s="160" t="s">
        <v>310</v>
      </c>
      <c r="B26" s="161"/>
      <c r="C26" s="162">
        <v>800</v>
      </c>
      <c r="D26" s="163">
        <v>4</v>
      </c>
      <c r="E26" s="162">
        <v>80</v>
      </c>
      <c r="F26" s="162">
        <v>100</v>
      </c>
      <c r="G26" s="162" t="s">
        <v>269</v>
      </c>
      <c r="H26" s="163">
        <v>2</v>
      </c>
      <c r="I26" s="162" t="s">
        <v>116</v>
      </c>
      <c r="J26" s="162" t="s">
        <v>118</v>
      </c>
      <c r="K26" s="162" t="s">
        <v>116</v>
      </c>
      <c r="L26" s="162" t="s">
        <v>118</v>
      </c>
      <c r="M26" s="162" t="s">
        <v>119</v>
      </c>
      <c r="N26" s="162" t="s">
        <v>311</v>
      </c>
      <c r="O26" s="164" t="s">
        <v>257</v>
      </c>
      <c r="P26" s="162" t="s">
        <v>312</v>
      </c>
      <c r="Q26" s="165" t="s">
        <v>313</v>
      </c>
      <c r="R26" s="166" t="s">
        <v>314</v>
      </c>
    </row>
    <row r="27" spans="1:18" s="112" customFormat="1" ht="15">
      <c r="A27" s="300" t="s">
        <v>315</v>
      </c>
      <c r="B27" s="300"/>
      <c r="C27" s="300"/>
      <c r="D27" s="300"/>
      <c r="E27" s="146"/>
      <c r="F27" s="146"/>
      <c r="G27" s="146"/>
      <c r="H27" s="146"/>
      <c r="I27" s="147"/>
      <c r="J27" s="147"/>
      <c r="K27" s="147"/>
      <c r="L27" s="147"/>
      <c r="M27" s="147"/>
      <c r="N27" s="148"/>
      <c r="O27" s="149"/>
      <c r="P27" s="146"/>
      <c r="Q27" s="150"/>
      <c r="R27" s="138"/>
    </row>
    <row r="28" spans="1:18" s="104" customFormat="1" ht="12.75">
      <c r="A28" s="151" t="s">
        <v>289</v>
      </c>
      <c r="B28" s="152"/>
      <c r="C28" s="153">
        <v>650</v>
      </c>
      <c r="D28" s="153">
        <v>0.6</v>
      </c>
      <c r="E28" s="153">
        <v>15</v>
      </c>
      <c r="F28" s="153">
        <v>15</v>
      </c>
      <c r="G28" s="153" t="s">
        <v>309</v>
      </c>
      <c r="H28" s="153">
        <v>10</v>
      </c>
      <c r="I28" s="153" t="s">
        <v>116</v>
      </c>
      <c r="J28" s="153" t="s">
        <v>308</v>
      </c>
      <c r="K28" s="153" t="s">
        <v>116</v>
      </c>
      <c r="L28" s="153" t="s">
        <v>116</v>
      </c>
      <c r="M28" s="153" t="s">
        <v>117</v>
      </c>
      <c r="N28" s="153" t="s">
        <v>244</v>
      </c>
      <c r="O28" s="303" t="s">
        <v>316</v>
      </c>
      <c r="P28" s="303" t="s">
        <v>317</v>
      </c>
      <c r="Q28" s="303" t="s">
        <v>287</v>
      </c>
      <c r="R28" s="167"/>
    </row>
    <row r="29" spans="1:18" s="104" customFormat="1" ht="12.75">
      <c r="A29" s="168" t="s">
        <v>283</v>
      </c>
      <c r="B29" s="169" t="s">
        <v>318</v>
      </c>
      <c r="C29" s="170">
        <v>650</v>
      </c>
      <c r="D29" s="170">
        <v>0.6</v>
      </c>
      <c r="E29" s="170">
        <v>10</v>
      </c>
      <c r="F29" s="170">
        <v>10</v>
      </c>
      <c r="G29" s="170" t="s">
        <v>309</v>
      </c>
      <c r="H29" s="170">
        <v>10</v>
      </c>
      <c r="I29" s="170" t="s">
        <v>116</v>
      </c>
      <c r="J29" s="170" t="s">
        <v>308</v>
      </c>
      <c r="K29" s="170" t="s">
        <v>116</v>
      </c>
      <c r="L29" s="170" t="s">
        <v>116</v>
      </c>
      <c r="M29" s="170" t="s">
        <v>117</v>
      </c>
      <c r="N29" s="170" t="s">
        <v>284</v>
      </c>
      <c r="O29" s="304"/>
      <c r="P29" s="304"/>
      <c r="Q29" s="304"/>
      <c r="R29" s="159"/>
    </row>
    <row r="30" spans="1:19" s="104" customFormat="1" ht="13.5">
      <c r="A30" s="151" t="s">
        <v>319</v>
      </c>
      <c r="B30" s="171" t="s">
        <v>320</v>
      </c>
      <c r="C30" s="153">
        <v>650</v>
      </c>
      <c r="D30" s="153">
        <v>0.9</v>
      </c>
      <c r="E30" s="153">
        <v>15</v>
      </c>
      <c r="F30" s="153">
        <v>17</v>
      </c>
      <c r="G30" s="153" t="s">
        <v>255</v>
      </c>
      <c r="H30" s="154">
        <v>6</v>
      </c>
      <c r="I30" s="153" t="s">
        <v>116</v>
      </c>
      <c r="J30" s="153" t="s">
        <v>308</v>
      </c>
      <c r="K30" s="153" t="s">
        <v>116</v>
      </c>
      <c r="L30" s="153" t="s">
        <v>116</v>
      </c>
      <c r="M30" s="153" t="s">
        <v>117</v>
      </c>
      <c r="N30" s="153" t="s">
        <v>125</v>
      </c>
      <c r="O30" s="335" t="s">
        <v>245</v>
      </c>
      <c r="P30" s="303" t="s">
        <v>293</v>
      </c>
      <c r="Q30" s="304"/>
      <c r="R30" s="172"/>
      <c r="S30" s="158"/>
    </row>
    <row r="31" spans="1:19" s="104" customFormat="1" ht="12.75">
      <c r="A31" s="168" t="s">
        <v>321</v>
      </c>
      <c r="B31" s="173"/>
      <c r="C31" s="170">
        <v>650</v>
      </c>
      <c r="D31" s="170">
        <v>1.2</v>
      </c>
      <c r="E31" s="170">
        <v>25</v>
      </c>
      <c r="F31" s="170">
        <v>30</v>
      </c>
      <c r="G31" s="170">
        <v>100</v>
      </c>
      <c r="H31" s="174">
        <v>6</v>
      </c>
      <c r="I31" s="170" t="s">
        <v>116</v>
      </c>
      <c r="J31" s="170" t="s">
        <v>308</v>
      </c>
      <c r="K31" s="170" t="s">
        <v>116</v>
      </c>
      <c r="L31" s="170" t="s">
        <v>116</v>
      </c>
      <c r="M31" s="170" t="s">
        <v>119</v>
      </c>
      <c r="N31" s="170" t="s">
        <v>311</v>
      </c>
      <c r="O31" s="336"/>
      <c r="P31" s="304"/>
      <c r="Q31" s="350" t="s">
        <v>247</v>
      </c>
      <c r="R31" s="172"/>
      <c r="S31" s="176"/>
    </row>
    <row r="32" spans="1:18" s="104" customFormat="1" ht="12.75">
      <c r="A32" s="160" t="s">
        <v>292</v>
      </c>
      <c r="B32" s="161"/>
      <c r="C32" s="162">
        <v>650</v>
      </c>
      <c r="D32" s="162">
        <v>1.2</v>
      </c>
      <c r="E32" s="162">
        <v>25</v>
      </c>
      <c r="F32" s="162">
        <v>30</v>
      </c>
      <c r="G32" s="162" t="s">
        <v>250</v>
      </c>
      <c r="H32" s="163">
        <v>6</v>
      </c>
      <c r="I32" s="162" t="s">
        <v>116</v>
      </c>
      <c r="J32" s="162" t="s">
        <v>308</v>
      </c>
      <c r="K32" s="162" t="s">
        <v>116</v>
      </c>
      <c r="L32" s="162" t="s">
        <v>116</v>
      </c>
      <c r="M32" s="162" t="s">
        <v>117</v>
      </c>
      <c r="N32" s="162" t="s">
        <v>244</v>
      </c>
      <c r="O32" s="337"/>
      <c r="P32" s="305"/>
      <c r="Q32" s="350"/>
      <c r="R32" s="159"/>
    </row>
    <row r="33" spans="1:18" s="183" customFormat="1" ht="13.5" customHeight="1">
      <c r="A33" s="177" t="s">
        <v>322</v>
      </c>
      <c r="B33" s="169" t="s">
        <v>323</v>
      </c>
      <c r="C33" s="178">
        <v>650</v>
      </c>
      <c r="D33" s="179">
        <v>2.15</v>
      </c>
      <c r="E33" s="178">
        <v>25</v>
      </c>
      <c r="F33" s="178">
        <v>30</v>
      </c>
      <c r="G33" s="178" t="s">
        <v>250</v>
      </c>
      <c r="H33" s="180">
        <v>4.5</v>
      </c>
      <c r="I33" s="178" t="s">
        <v>116</v>
      </c>
      <c r="J33" s="178" t="s">
        <v>116</v>
      </c>
      <c r="K33" s="178" t="s">
        <v>116</v>
      </c>
      <c r="L33" s="178" t="s">
        <v>116</v>
      </c>
      <c r="M33" s="178" t="s">
        <v>117</v>
      </c>
      <c r="N33" s="178" t="s">
        <v>284</v>
      </c>
      <c r="O33" s="181" t="s">
        <v>324</v>
      </c>
      <c r="P33" s="304" t="s">
        <v>296</v>
      </c>
      <c r="Q33" s="350"/>
      <c r="R33" s="182"/>
    </row>
    <row r="34" spans="1:18" s="104" customFormat="1" ht="12.75">
      <c r="A34" s="168" t="s">
        <v>295</v>
      </c>
      <c r="B34" s="173"/>
      <c r="C34" s="170">
        <v>650</v>
      </c>
      <c r="D34" s="170">
        <v>2.15</v>
      </c>
      <c r="E34" s="170">
        <v>40</v>
      </c>
      <c r="F34" s="170">
        <v>50</v>
      </c>
      <c r="G34" s="170" t="s">
        <v>309</v>
      </c>
      <c r="H34" s="170">
        <v>4.5</v>
      </c>
      <c r="I34" s="170" t="s">
        <v>116</v>
      </c>
      <c r="J34" s="170" t="s">
        <v>116</v>
      </c>
      <c r="K34" s="170" t="s">
        <v>116</v>
      </c>
      <c r="L34" s="170" t="s">
        <v>116</v>
      </c>
      <c r="M34" s="170" t="s">
        <v>117</v>
      </c>
      <c r="N34" s="170" t="s">
        <v>244</v>
      </c>
      <c r="O34" s="175" t="s">
        <v>251</v>
      </c>
      <c r="P34" s="304"/>
      <c r="Q34" s="350"/>
      <c r="R34" s="159"/>
    </row>
    <row r="35" spans="1:18" s="104" customFormat="1" ht="12.75">
      <c r="A35" s="151" t="s">
        <v>302</v>
      </c>
      <c r="B35" s="152"/>
      <c r="C35" s="153">
        <v>650</v>
      </c>
      <c r="D35" s="154">
        <v>5</v>
      </c>
      <c r="E35" s="153">
        <v>100</v>
      </c>
      <c r="F35" s="153">
        <v>120</v>
      </c>
      <c r="G35" s="153">
        <v>67</v>
      </c>
      <c r="H35" s="153">
        <v>1.6</v>
      </c>
      <c r="I35" s="153" t="s">
        <v>116</v>
      </c>
      <c r="J35" s="153" t="s">
        <v>116</v>
      </c>
      <c r="K35" s="153" t="s">
        <v>116</v>
      </c>
      <c r="L35" s="153" t="s">
        <v>116</v>
      </c>
      <c r="M35" s="153" t="s">
        <v>119</v>
      </c>
      <c r="N35" s="153" t="s">
        <v>311</v>
      </c>
      <c r="O35" s="335" t="s">
        <v>257</v>
      </c>
      <c r="P35" s="345" t="s">
        <v>303</v>
      </c>
      <c r="Q35" s="357" t="s">
        <v>304</v>
      </c>
      <c r="R35" s="352"/>
    </row>
    <row r="36" spans="1:18" s="104" customFormat="1" ht="12.75">
      <c r="A36" s="160" t="s">
        <v>306</v>
      </c>
      <c r="B36" s="161"/>
      <c r="C36" s="162">
        <v>650</v>
      </c>
      <c r="D36" s="163">
        <v>6</v>
      </c>
      <c r="E36" s="162">
        <v>120</v>
      </c>
      <c r="F36" s="162">
        <v>145</v>
      </c>
      <c r="G36" s="162">
        <v>67</v>
      </c>
      <c r="H36" s="162">
        <v>1.2</v>
      </c>
      <c r="I36" s="162" t="s">
        <v>118</v>
      </c>
      <c r="J36" s="162" t="s">
        <v>118</v>
      </c>
      <c r="K36" s="162" t="s">
        <v>118</v>
      </c>
      <c r="L36" s="162" t="s">
        <v>118</v>
      </c>
      <c r="M36" s="162" t="s">
        <v>119</v>
      </c>
      <c r="N36" s="162" t="s">
        <v>256</v>
      </c>
      <c r="O36" s="337"/>
      <c r="P36" s="347"/>
      <c r="Q36" s="357"/>
      <c r="R36" s="352"/>
    </row>
    <row r="37" spans="1:18" s="120" customFormat="1" ht="12.75">
      <c r="A37" s="126" t="s">
        <v>325</v>
      </c>
      <c r="B37" s="127" t="s">
        <v>268</v>
      </c>
      <c r="C37" s="128">
        <v>650</v>
      </c>
      <c r="D37" s="129">
        <v>4</v>
      </c>
      <c r="E37" s="128">
        <v>80</v>
      </c>
      <c r="F37" s="128">
        <v>100</v>
      </c>
      <c r="G37" s="128" t="s">
        <v>326</v>
      </c>
      <c r="H37" s="128">
        <v>1.6</v>
      </c>
      <c r="I37" s="128" t="s">
        <v>118</v>
      </c>
      <c r="J37" s="128" t="s">
        <v>118</v>
      </c>
      <c r="K37" s="128" t="s">
        <v>118</v>
      </c>
      <c r="L37" s="128" t="s">
        <v>118</v>
      </c>
      <c r="M37" s="128" t="s">
        <v>119</v>
      </c>
      <c r="N37" s="128" t="s">
        <v>311</v>
      </c>
      <c r="O37" s="136" t="s">
        <v>270</v>
      </c>
      <c r="P37" s="348" t="s">
        <v>271</v>
      </c>
      <c r="Q37" s="349" t="s">
        <v>272</v>
      </c>
      <c r="R37" s="143"/>
    </row>
    <row r="38" spans="1:18" s="120" customFormat="1" ht="12.75">
      <c r="A38" s="126" t="s">
        <v>327</v>
      </c>
      <c r="B38" s="127" t="s">
        <v>328</v>
      </c>
      <c r="C38" s="128">
        <v>650</v>
      </c>
      <c r="D38" s="129">
        <v>6</v>
      </c>
      <c r="E38" s="128">
        <v>120</v>
      </c>
      <c r="F38" s="128">
        <v>145</v>
      </c>
      <c r="G38" s="128" t="s">
        <v>326</v>
      </c>
      <c r="H38" s="128">
        <v>1.2</v>
      </c>
      <c r="I38" s="128" t="s">
        <v>118</v>
      </c>
      <c r="J38" s="128" t="s">
        <v>118</v>
      </c>
      <c r="K38" s="128" t="s">
        <v>118</v>
      </c>
      <c r="L38" s="128" t="s">
        <v>118</v>
      </c>
      <c r="M38" s="128" t="s">
        <v>119</v>
      </c>
      <c r="N38" s="128" t="s">
        <v>256</v>
      </c>
      <c r="O38" s="136" t="s">
        <v>329</v>
      </c>
      <c r="P38" s="348"/>
      <c r="Q38" s="349"/>
      <c r="R38" s="143"/>
    </row>
    <row r="39" spans="1:18" s="120" customFormat="1" ht="12.75">
      <c r="A39" s="126" t="s">
        <v>330</v>
      </c>
      <c r="B39" s="127" t="s">
        <v>331</v>
      </c>
      <c r="C39" s="128">
        <v>650</v>
      </c>
      <c r="D39" s="129">
        <v>6</v>
      </c>
      <c r="E39" s="128">
        <v>120</v>
      </c>
      <c r="F39" s="128">
        <v>145</v>
      </c>
      <c r="G39" s="128" t="s">
        <v>326</v>
      </c>
      <c r="H39" s="128">
        <v>0.9</v>
      </c>
      <c r="I39" s="128" t="s">
        <v>118</v>
      </c>
      <c r="J39" s="128" t="s">
        <v>118</v>
      </c>
      <c r="K39" s="128" t="s">
        <v>118</v>
      </c>
      <c r="L39" s="128" t="s">
        <v>118</v>
      </c>
      <c r="M39" s="128" t="s">
        <v>119</v>
      </c>
      <c r="N39" s="128" t="s">
        <v>256</v>
      </c>
      <c r="O39" s="136" t="s">
        <v>332</v>
      </c>
      <c r="P39" s="348"/>
      <c r="Q39" s="349"/>
      <c r="R39" s="143"/>
    </row>
    <row r="40" spans="1:18" s="120" customFormat="1" ht="12.75">
      <c r="A40" s="126" t="s">
        <v>333</v>
      </c>
      <c r="B40" s="127" t="s">
        <v>331</v>
      </c>
      <c r="C40" s="128">
        <v>650</v>
      </c>
      <c r="D40" s="129">
        <v>8</v>
      </c>
      <c r="E40" s="128">
        <v>160</v>
      </c>
      <c r="F40" s="128">
        <v>190</v>
      </c>
      <c r="G40" s="128" t="s">
        <v>326</v>
      </c>
      <c r="H40" s="128">
        <v>0.9</v>
      </c>
      <c r="I40" s="128" t="s">
        <v>118</v>
      </c>
      <c r="J40" s="128" t="s">
        <v>118</v>
      </c>
      <c r="K40" s="128" t="s">
        <v>118</v>
      </c>
      <c r="L40" s="128" t="s">
        <v>118</v>
      </c>
      <c r="M40" s="128" t="s">
        <v>119</v>
      </c>
      <c r="N40" s="128" t="s">
        <v>256</v>
      </c>
      <c r="O40" s="136" t="s">
        <v>332</v>
      </c>
      <c r="P40" s="348"/>
      <c r="Q40" s="349"/>
      <c r="R40" s="143"/>
    </row>
    <row r="41" spans="1:18" s="104" customFormat="1" ht="12.75">
      <c r="A41" s="184" t="s">
        <v>334</v>
      </c>
      <c r="B41" s="185"/>
      <c r="C41" s="186">
        <v>650</v>
      </c>
      <c r="D41" s="187">
        <v>3.5</v>
      </c>
      <c r="E41" s="186">
        <v>70</v>
      </c>
      <c r="F41" s="186">
        <v>80</v>
      </c>
      <c r="G41" s="186" t="s">
        <v>335</v>
      </c>
      <c r="H41" s="186">
        <v>2.2</v>
      </c>
      <c r="I41" s="186" t="s">
        <v>308</v>
      </c>
      <c r="J41" s="186" t="s">
        <v>336</v>
      </c>
      <c r="K41" s="186" t="s">
        <v>308</v>
      </c>
      <c r="L41" s="186" t="s">
        <v>336</v>
      </c>
      <c r="M41" s="186" t="s">
        <v>337</v>
      </c>
      <c r="N41" s="186" t="s">
        <v>338</v>
      </c>
      <c r="O41" s="188"/>
      <c r="P41" s="345" t="s">
        <v>277</v>
      </c>
      <c r="Q41" s="303" t="s">
        <v>278</v>
      </c>
      <c r="R41" s="353" t="s">
        <v>339</v>
      </c>
    </row>
    <row r="42" spans="1:18" s="183" customFormat="1" ht="12.75">
      <c r="A42" s="168" t="s">
        <v>340</v>
      </c>
      <c r="B42" s="173"/>
      <c r="C42" s="170">
        <v>400</v>
      </c>
      <c r="D42" s="174">
        <v>5</v>
      </c>
      <c r="E42" s="170">
        <v>100</v>
      </c>
      <c r="F42" s="170" t="s">
        <v>341</v>
      </c>
      <c r="G42" s="170" t="s">
        <v>335</v>
      </c>
      <c r="H42" s="170">
        <v>1.1</v>
      </c>
      <c r="I42" s="170" t="s">
        <v>116</v>
      </c>
      <c r="J42" s="170" t="s">
        <v>118</v>
      </c>
      <c r="K42" s="170" t="s">
        <v>116</v>
      </c>
      <c r="L42" s="170" t="s">
        <v>118</v>
      </c>
      <c r="M42" s="170" t="s">
        <v>117</v>
      </c>
      <c r="N42" s="170" t="s">
        <v>338</v>
      </c>
      <c r="O42" s="189" t="s">
        <v>341</v>
      </c>
      <c r="P42" s="346"/>
      <c r="Q42" s="304"/>
      <c r="R42" s="354"/>
    </row>
    <row r="43" spans="1:18" s="183" customFormat="1" ht="12.75">
      <c r="A43" s="177" t="s">
        <v>274</v>
      </c>
      <c r="B43" s="169" t="s">
        <v>342</v>
      </c>
      <c r="C43" s="178">
        <v>650</v>
      </c>
      <c r="D43" s="180">
        <v>5</v>
      </c>
      <c r="E43" s="178">
        <v>100</v>
      </c>
      <c r="F43" s="178">
        <v>130</v>
      </c>
      <c r="G43" s="178" t="s">
        <v>335</v>
      </c>
      <c r="H43" s="178">
        <v>1.6</v>
      </c>
      <c r="I43" s="178" t="s">
        <v>308</v>
      </c>
      <c r="J43" s="178" t="s">
        <v>336</v>
      </c>
      <c r="K43" s="178" t="s">
        <v>308</v>
      </c>
      <c r="L43" s="178" t="s">
        <v>336</v>
      </c>
      <c r="M43" s="178" t="s">
        <v>337</v>
      </c>
      <c r="N43" s="178" t="s">
        <v>338</v>
      </c>
      <c r="O43" s="189" t="s">
        <v>123</v>
      </c>
      <c r="P43" s="346"/>
      <c r="Q43" s="304"/>
      <c r="R43" s="352"/>
    </row>
    <row r="44" spans="1:18" s="104" customFormat="1" ht="12.75">
      <c r="A44" s="168" t="s">
        <v>280</v>
      </c>
      <c r="B44" s="173"/>
      <c r="C44" s="170">
        <v>650</v>
      </c>
      <c r="D44" s="174">
        <v>6</v>
      </c>
      <c r="E44" s="170">
        <v>150</v>
      </c>
      <c r="F44" s="170">
        <v>180</v>
      </c>
      <c r="G44" s="170" t="s">
        <v>335</v>
      </c>
      <c r="H44" s="170">
        <v>0.9</v>
      </c>
      <c r="I44" s="170" t="s">
        <v>116</v>
      </c>
      <c r="J44" s="170" t="s">
        <v>118</v>
      </c>
      <c r="K44" s="170" t="s">
        <v>116</v>
      </c>
      <c r="L44" s="170" t="s">
        <v>118</v>
      </c>
      <c r="M44" s="170" t="s">
        <v>117</v>
      </c>
      <c r="N44" s="170" t="s">
        <v>338</v>
      </c>
      <c r="O44" s="189" t="s">
        <v>329</v>
      </c>
      <c r="P44" s="346"/>
      <c r="Q44" s="304"/>
      <c r="R44" s="352"/>
    </row>
    <row r="45" spans="1:18" s="104" customFormat="1" ht="12.75">
      <c r="A45" s="168" t="s">
        <v>343</v>
      </c>
      <c r="B45" s="173"/>
      <c r="C45" s="170">
        <v>650</v>
      </c>
      <c r="D45" s="174">
        <v>8</v>
      </c>
      <c r="E45" s="170">
        <v>200</v>
      </c>
      <c r="F45" s="170">
        <v>230</v>
      </c>
      <c r="G45" s="170" t="s">
        <v>335</v>
      </c>
      <c r="H45" s="170">
        <v>0.9</v>
      </c>
      <c r="I45" s="170" t="s">
        <v>116</v>
      </c>
      <c r="J45" s="170" t="s">
        <v>118</v>
      </c>
      <c r="K45" s="170" t="s">
        <v>116</v>
      </c>
      <c r="L45" s="170" t="s">
        <v>118</v>
      </c>
      <c r="M45" s="170" t="s">
        <v>117</v>
      </c>
      <c r="N45" s="170" t="s">
        <v>275</v>
      </c>
      <c r="O45" s="189" t="s">
        <v>332</v>
      </c>
      <c r="P45" s="346"/>
      <c r="Q45" s="304"/>
      <c r="R45" s="352"/>
    </row>
    <row r="46" spans="1:18" s="194" customFormat="1" ht="12.75">
      <c r="A46" s="190" t="s">
        <v>344</v>
      </c>
      <c r="B46" s="169"/>
      <c r="C46" s="191">
        <v>650</v>
      </c>
      <c r="D46" s="192">
        <v>8</v>
      </c>
      <c r="E46" s="191">
        <v>200</v>
      </c>
      <c r="F46" s="191">
        <v>230</v>
      </c>
      <c r="G46" s="191" t="s">
        <v>335</v>
      </c>
      <c r="H46" s="191">
        <v>0.9</v>
      </c>
      <c r="I46" s="191" t="s">
        <v>116</v>
      </c>
      <c r="J46" s="191" t="s">
        <v>118</v>
      </c>
      <c r="K46" s="191" t="s">
        <v>116</v>
      </c>
      <c r="L46" s="191" t="s">
        <v>118</v>
      </c>
      <c r="M46" s="191" t="s">
        <v>117</v>
      </c>
      <c r="N46" s="191" t="s">
        <v>275</v>
      </c>
      <c r="O46" s="193" t="s">
        <v>332</v>
      </c>
      <c r="P46" s="346"/>
      <c r="Q46" s="304"/>
      <c r="R46" s="352"/>
    </row>
    <row r="47" spans="1:18" s="194" customFormat="1" ht="12.75">
      <c r="A47" s="160" t="s">
        <v>345</v>
      </c>
      <c r="B47" s="161"/>
      <c r="C47" s="162">
        <v>650</v>
      </c>
      <c r="D47" s="163">
        <v>11.5</v>
      </c>
      <c r="E47" s="162">
        <v>270</v>
      </c>
      <c r="F47" s="162">
        <v>300</v>
      </c>
      <c r="G47" s="162" t="s">
        <v>335</v>
      </c>
      <c r="H47" s="162">
        <v>0.65</v>
      </c>
      <c r="I47" s="162" t="s">
        <v>116</v>
      </c>
      <c r="J47" s="162" t="s">
        <v>118</v>
      </c>
      <c r="K47" s="162" t="s">
        <v>116</v>
      </c>
      <c r="L47" s="162" t="s">
        <v>118</v>
      </c>
      <c r="M47" s="162" t="s">
        <v>117</v>
      </c>
      <c r="N47" s="162" t="s">
        <v>275</v>
      </c>
      <c r="O47" s="195" t="s">
        <v>341</v>
      </c>
      <c r="P47" s="347"/>
      <c r="Q47" s="305"/>
      <c r="R47" s="355"/>
    </row>
    <row r="48" spans="1:18" s="112" customFormat="1" ht="15">
      <c r="A48" s="334" t="s">
        <v>346</v>
      </c>
      <c r="B48" s="334"/>
      <c r="C48" s="334"/>
      <c r="D48" s="334"/>
      <c r="E48" s="196"/>
      <c r="F48" s="196"/>
      <c r="G48" s="196"/>
      <c r="H48" s="196"/>
      <c r="I48" s="197"/>
      <c r="J48" s="197"/>
      <c r="K48" s="197"/>
      <c r="L48" s="197"/>
      <c r="M48" s="197"/>
      <c r="N48" s="198"/>
      <c r="O48" s="199"/>
      <c r="P48" s="196"/>
      <c r="Q48" s="200"/>
      <c r="R48" s="196"/>
    </row>
    <row r="49" spans="1:18" s="120" customFormat="1" ht="12.75">
      <c r="A49" s="113" t="s">
        <v>347</v>
      </c>
      <c r="B49" s="114" t="s">
        <v>348</v>
      </c>
      <c r="C49" s="115">
        <v>650</v>
      </c>
      <c r="D49" s="201">
        <v>2</v>
      </c>
      <c r="E49" s="115">
        <v>55</v>
      </c>
      <c r="F49" s="115">
        <v>65</v>
      </c>
      <c r="G49" s="115">
        <v>70</v>
      </c>
      <c r="H49" s="115">
        <v>1.6</v>
      </c>
      <c r="I49" s="115" t="s">
        <v>116</v>
      </c>
      <c r="J49" s="115" t="s">
        <v>116</v>
      </c>
      <c r="K49" s="115" t="s">
        <v>116</v>
      </c>
      <c r="L49" s="115" t="s">
        <v>118</v>
      </c>
      <c r="M49" s="115" t="s">
        <v>119</v>
      </c>
      <c r="N49" s="115" t="s">
        <v>338</v>
      </c>
      <c r="O49" s="343" t="s">
        <v>121</v>
      </c>
      <c r="P49" s="292" t="s">
        <v>349</v>
      </c>
      <c r="Q49" s="303" t="s">
        <v>350</v>
      </c>
      <c r="R49" s="295" t="s">
        <v>351</v>
      </c>
    </row>
    <row r="50" spans="1:18" s="209" customFormat="1" ht="12.75">
      <c r="A50" s="204" t="s">
        <v>352</v>
      </c>
      <c r="B50" s="205"/>
      <c r="C50" s="206">
        <v>650</v>
      </c>
      <c r="D50" s="207">
        <v>3.2</v>
      </c>
      <c r="E50" s="206">
        <v>80</v>
      </c>
      <c r="F50" s="206">
        <v>95</v>
      </c>
      <c r="G50" s="206">
        <v>70</v>
      </c>
      <c r="H50" s="206">
        <v>0.9</v>
      </c>
      <c r="I50" s="162" t="s">
        <v>116</v>
      </c>
      <c r="J50" s="162" t="s">
        <v>116</v>
      </c>
      <c r="K50" s="162" t="s">
        <v>116</v>
      </c>
      <c r="L50" s="162" t="s">
        <v>118</v>
      </c>
      <c r="M50" s="162" t="s">
        <v>119</v>
      </c>
      <c r="N50" s="206" t="s">
        <v>338</v>
      </c>
      <c r="O50" s="344"/>
      <c r="P50" s="293"/>
      <c r="Q50" s="305"/>
      <c r="R50" s="296"/>
    </row>
    <row r="51" spans="1:18" s="120" customFormat="1" ht="12.75">
      <c r="A51" s="126" t="s">
        <v>353</v>
      </c>
      <c r="B51" s="127" t="s">
        <v>268</v>
      </c>
      <c r="C51" s="128">
        <v>650</v>
      </c>
      <c r="D51" s="129">
        <v>4</v>
      </c>
      <c r="E51" s="128">
        <v>80</v>
      </c>
      <c r="F51" s="128">
        <v>100</v>
      </c>
      <c r="G51" s="128" t="s">
        <v>326</v>
      </c>
      <c r="H51" s="128">
        <v>1.6</v>
      </c>
      <c r="I51" s="128" t="s">
        <v>116</v>
      </c>
      <c r="J51" s="128" t="s">
        <v>116</v>
      </c>
      <c r="K51" s="128" t="s">
        <v>116</v>
      </c>
      <c r="L51" s="128" t="s">
        <v>116</v>
      </c>
      <c r="M51" s="128" t="s">
        <v>119</v>
      </c>
      <c r="N51" s="128" t="s">
        <v>311</v>
      </c>
      <c r="O51" s="136" t="s">
        <v>270</v>
      </c>
      <c r="P51" s="301" t="s">
        <v>124</v>
      </c>
      <c r="Q51" s="304" t="s">
        <v>354</v>
      </c>
      <c r="R51" s="352" t="s">
        <v>351</v>
      </c>
    </row>
    <row r="52" spans="1:18" s="120" customFormat="1" ht="12.75">
      <c r="A52" s="126" t="s">
        <v>130</v>
      </c>
      <c r="B52" s="127" t="s">
        <v>328</v>
      </c>
      <c r="C52" s="128">
        <v>650</v>
      </c>
      <c r="D52" s="129">
        <v>6</v>
      </c>
      <c r="E52" s="128">
        <v>120</v>
      </c>
      <c r="F52" s="128">
        <v>145</v>
      </c>
      <c r="G52" s="128" t="s">
        <v>127</v>
      </c>
      <c r="H52" s="128">
        <v>1.2</v>
      </c>
      <c r="I52" s="128" t="s">
        <v>116</v>
      </c>
      <c r="J52" s="128" t="s">
        <v>118</v>
      </c>
      <c r="K52" s="128" t="s">
        <v>116</v>
      </c>
      <c r="L52" s="128" t="s">
        <v>118</v>
      </c>
      <c r="M52" s="128" t="s">
        <v>119</v>
      </c>
      <c r="N52" s="128" t="s">
        <v>129</v>
      </c>
      <c r="O52" s="136" t="s">
        <v>128</v>
      </c>
      <c r="P52" s="301"/>
      <c r="Q52" s="304"/>
      <c r="R52" s="352"/>
    </row>
    <row r="53" spans="1:18" s="183" customFormat="1" ht="12.75">
      <c r="A53" s="177" t="s">
        <v>355</v>
      </c>
      <c r="B53" s="210"/>
      <c r="C53" s="178">
        <v>650</v>
      </c>
      <c r="D53" s="180">
        <v>6</v>
      </c>
      <c r="E53" s="178">
        <v>120</v>
      </c>
      <c r="F53" s="178">
        <v>145</v>
      </c>
      <c r="G53" s="178" t="s">
        <v>326</v>
      </c>
      <c r="H53" s="178">
        <v>1.2</v>
      </c>
      <c r="I53" s="170" t="s">
        <v>116</v>
      </c>
      <c r="J53" s="170" t="s">
        <v>118</v>
      </c>
      <c r="K53" s="170" t="s">
        <v>116</v>
      </c>
      <c r="L53" s="170" t="s">
        <v>118</v>
      </c>
      <c r="M53" s="170" t="s">
        <v>119</v>
      </c>
      <c r="N53" s="178" t="s">
        <v>256</v>
      </c>
      <c r="O53" s="181" t="s">
        <v>128</v>
      </c>
      <c r="P53" s="301"/>
      <c r="Q53" s="304"/>
      <c r="R53" s="352"/>
    </row>
    <row r="54" spans="1:18" s="183" customFormat="1" ht="12.75">
      <c r="A54" s="177" t="s">
        <v>328</v>
      </c>
      <c r="B54" s="210"/>
      <c r="C54" s="178">
        <v>650</v>
      </c>
      <c r="D54" s="180">
        <v>6</v>
      </c>
      <c r="E54" s="178">
        <v>120</v>
      </c>
      <c r="F54" s="178">
        <v>145</v>
      </c>
      <c r="G54" s="178" t="s">
        <v>326</v>
      </c>
      <c r="H54" s="178">
        <v>1.2</v>
      </c>
      <c r="I54" s="178" t="s">
        <v>116</v>
      </c>
      <c r="J54" s="178" t="s">
        <v>116</v>
      </c>
      <c r="K54" s="178" t="s">
        <v>116</v>
      </c>
      <c r="L54" s="178" t="s">
        <v>116</v>
      </c>
      <c r="M54" s="178" t="s">
        <v>119</v>
      </c>
      <c r="N54" s="178" t="s">
        <v>311</v>
      </c>
      <c r="O54" s="181" t="s">
        <v>128</v>
      </c>
      <c r="P54" s="301"/>
      <c r="Q54" s="304"/>
      <c r="R54" s="352"/>
    </row>
    <row r="55" spans="1:18" s="183" customFormat="1" ht="12.75">
      <c r="A55" s="177" t="s">
        <v>331</v>
      </c>
      <c r="B55" s="210"/>
      <c r="C55" s="178">
        <v>650</v>
      </c>
      <c r="D55" s="180">
        <v>8</v>
      </c>
      <c r="E55" s="178">
        <v>160</v>
      </c>
      <c r="F55" s="178">
        <v>190</v>
      </c>
      <c r="G55" s="178" t="s">
        <v>326</v>
      </c>
      <c r="H55" s="178">
        <v>0.9</v>
      </c>
      <c r="I55" s="170" t="s">
        <v>116</v>
      </c>
      <c r="J55" s="170" t="s">
        <v>116</v>
      </c>
      <c r="K55" s="170" t="s">
        <v>116</v>
      </c>
      <c r="L55" s="170" t="s">
        <v>116</v>
      </c>
      <c r="M55" s="170" t="s">
        <v>119</v>
      </c>
      <c r="N55" s="178" t="s">
        <v>256</v>
      </c>
      <c r="O55" s="181" t="s">
        <v>332</v>
      </c>
      <c r="P55" s="301"/>
      <c r="Q55" s="304"/>
      <c r="R55" s="352"/>
    </row>
    <row r="56" spans="1:18" s="183" customFormat="1" ht="12.75">
      <c r="A56" s="177" t="s">
        <v>356</v>
      </c>
      <c r="B56" s="210"/>
      <c r="C56" s="178">
        <v>650</v>
      </c>
      <c r="D56" s="180">
        <v>9.7</v>
      </c>
      <c r="E56" s="178">
        <v>200</v>
      </c>
      <c r="F56" s="178">
        <v>240</v>
      </c>
      <c r="G56" s="178" t="s">
        <v>326</v>
      </c>
      <c r="H56" s="178">
        <v>0.65</v>
      </c>
      <c r="I56" s="170" t="s">
        <v>116</v>
      </c>
      <c r="J56" s="170" t="s">
        <v>116</v>
      </c>
      <c r="K56" s="170" t="s">
        <v>116</v>
      </c>
      <c r="L56" s="170" t="s">
        <v>116</v>
      </c>
      <c r="M56" s="170" t="s">
        <v>119</v>
      </c>
      <c r="N56" s="178" t="s">
        <v>120</v>
      </c>
      <c r="O56" s="181" t="s">
        <v>341</v>
      </c>
      <c r="P56" s="301"/>
      <c r="Q56" s="304"/>
      <c r="R56" s="352"/>
    </row>
    <row r="57" spans="1:18" s="183" customFormat="1" ht="12.75">
      <c r="A57" s="184" t="s">
        <v>254</v>
      </c>
      <c r="B57" s="185"/>
      <c r="C57" s="186">
        <v>800</v>
      </c>
      <c r="D57" s="187">
        <v>4</v>
      </c>
      <c r="E57" s="186">
        <v>80</v>
      </c>
      <c r="F57" s="186">
        <v>100</v>
      </c>
      <c r="G57" s="186">
        <v>66</v>
      </c>
      <c r="H57" s="187">
        <v>2</v>
      </c>
      <c r="I57" s="186" t="s">
        <v>118</v>
      </c>
      <c r="J57" s="186" t="s">
        <v>118</v>
      </c>
      <c r="K57" s="186" t="s">
        <v>118</v>
      </c>
      <c r="L57" s="186" t="s">
        <v>118</v>
      </c>
      <c r="M57" s="186" t="s">
        <v>119</v>
      </c>
      <c r="N57" s="186" t="s">
        <v>120</v>
      </c>
      <c r="O57" s="202" t="s">
        <v>121</v>
      </c>
      <c r="P57" s="292" t="s">
        <v>357</v>
      </c>
      <c r="Q57" s="297" t="s">
        <v>358</v>
      </c>
      <c r="R57" s="295"/>
    </row>
    <row r="58" spans="1:18" s="194" customFormat="1" ht="13.5" customHeight="1">
      <c r="A58" s="204" t="s">
        <v>263</v>
      </c>
      <c r="B58" s="205"/>
      <c r="C58" s="206">
        <v>800</v>
      </c>
      <c r="D58" s="212">
        <v>5</v>
      </c>
      <c r="E58" s="206">
        <v>110</v>
      </c>
      <c r="F58" s="206">
        <v>130</v>
      </c>
      <c r="G58" s="206">
        <v>66</v>
      </c>
      <c r="H58" s="206">
        <v>1.5</v>
      </c>
      <c r="I58" s="206" t="s">
        <v>118</v>
      </c>
      <c r="J58" s="206" t="s">
        <v>118</v>
      </c>
      <c r="K58" s="206" t="s">
        <v>118</v>
      </c>
      <c r="L58" s="206" t="s">
        <v>118</v>
      </c>
      <c r="M58" s="206" t="s">
        <v>359</v>
      </c>
      <c r="N58" s="206" t="s">
        <v>256</v>
      </c>
      <c r="O58" s="208" t="s">
        <v>257</v>
      </c>
      <c r="P58" s="293"/>
      <c r="Q58" s="298"/>
      <c r="R58" s="296"/>
    </row>
    <row r="59" spans="1:18" s="183" customFormat="1" ht="13.5" customHeight="1">
      <c r="A59" s="177" t="s">
        <v>268</v>
      </c>
      <c r="B59" s="210"/>
      <c r="C59" s="178">
        <v>650</v>
      </c>
      <c r="D59" s="180">
        <v>4</v>
      </c>
      <c r="E59" s="178">
        <v>80</v>
      </c>
      <c r="F59" s="178">
        <v>100</v>
      </c>
      <c r="G59" s="178" t="s">
        <v>127</v>
      </c>
      <c r="H59" s="178">
        <v>1.6</v>
      </c>
      <c r="I59" s="178" t="s">
        <v>116</v>
      </c>
      <c r="J59" s="178" t="s">
        <v>116</v>
      </c>
      <c r="K59" s="178" t="s">
        <v>117</v>
      </c>
      <c r="L59" s="178" t="s">
        <v>116</v>
      </c>
      <c r="M59" s="178" t="s">
        <v>119</v>
      </c>
      <c r="N59" s="178" t="s">
        <v>126</v>
      </c>
      <c r="O59" s="181" t="s">
        <v>131</v>
      </c>
      <c r="P59" s="206"/>
      <c r="Q59" s="214"/>
      <c r="R59" s="215" t="s">
        <v>360</v>
      </c>
    </row>
    <row r="60" spans="1:18" s="183" customFormat="1" ht="13.5" customHeight="1">
      <c r="A60" s="184" t="s">
        <v>361</v>
      </c>
      <c r="B60" s="185"/>
      <c r="C60" s="186">
        <v>200</v>
      </c>
      <c r="D60" s="187">
        <v>3.2</v>
      </c>
      <c r="E60" s="216">
        <v>40</v>
      </c>
      <c r="F60" s="217" t="s">
        <v>362</v>
      </c>
      <c r="G60" s="186">
        <v>300</v>
      </c>
      <c r="H60" s="186">
        <v>0.3</v>
      </c>
      <c r="I60" s="153" t="s">
        <v>308</v>
      </c>
      <c r="J60" s="153" t="s">
        <v>337</v>
      </c>
      <c r="K60" s="153" t="s">
        <v>308</v>
      </c>
      <c r="L60" s="153" t="s">
        <v>308</v>
      </c>
      <c r="M60" s="186" t="s">
        <v>337</v>
      </c>
      <c r="N60" s="186" t="s">
        <v>338</v>
      </c>
      <c r="O60" s="202" t="s">
        <v>363</v>
      </c>
      <c r="P60" s="292" t="s">
        <v>364</v>
      </c>
      <c r="Q60" s="211"/>
      <c r="R60" s="203"/>
    </row>
    <row r="61" spans="1:18" s="194" customFormat="1" ht="13.5" customHeight="1">
      <c r="A61" s="218" t="s">
        <v>365</v>
      </c>
      <c r="B61" s="219"/>
      <c r="C61" s="220">
        <v>200</v>
      </c>
      <c r="D61" s="221">
        <v>3.2</v>
      </c>
      <c r="E61" s="222">
        <v>40</v>
      </c>
      <c r="F61" s="223" t="s">
        <v>132</v>
      </c>
      <c r="G61" s="220">
        <v>300</v>
      </c>
      <c r="H61" s="220">
        <v>0.3</v>
      </c>
      <c r="I61" s="220" t="s">
        <v>116</v>
      </c>
      <c r="J61" s="220" t="s">
        <v>117</v>
      </c>
      <c r="K61" s="220" t="s">
        <v>116</v>
      </c>
      <c r="L61" s="220" t="s">
        <v>116</v>
      </c>
      <c r="M61" s="220" t="s">
        <v>337</v>
      </c>
      <c r="N61" s="220" t="s">
        <v>366</v>
      </c>
      <c r="O61" s="223" t="s">
        <v>133</v>
      </c>
      <c r="P61" s="293"/>
      <c r="Q61" s="224"/>
      <c r="R61" s="225"/>
    </row>
    <row r="62" spans="1:18" s="112" customFormat="1" ht="15">
      <c r="A62" s="300" t="s">
        <v>367</v>
      </c>
      <c r="B62" s="300"/>
      <c r="C62" s="300"/>
      <c r="D62" s="300"/>
      <c r="E62" s="196"/>
      <c r="F62" s="196"/>
      <c r="G62" s="196"/>
      <c r="H62" s="196"/>
      <c r="I62" s="197"/>
      <c r="J62" s="197"/>
      <c r="K62" s="197"/>
      <c r="L62" s="197"/>
      <c r="M62" s="197"/>
      <c r="N62" s="198"/>
      <c r="O62" s="199"/>
      <c r="P62" s="196"/>
      <c r="Q62" s="200"/>
      <c r="R62" s="138"/>
    </row>
    <row r="63" spans="1:19" s="120" customFormat="1" ht="13.5">
      <c r="A63" s="113" t="s">
        <v>368</v>
      </c>
      <c r="B63" s="114" t="s">
        <v>369</v>
      </c>
      <c r="C63" s="115">
        <v>650</v>
      </c>
      <c r="D63" s="115">
        <v>0.6</v>
      </c>
      <c r="E63" s="115" t="s">
        <v>370</v>
      </c>
      <c r="F63" s="115" t="s">
        <v>370</v>
      </c>
      <c r="G63" s="115">
        <v>100</v>
      </c>
      <c r="H63" s="115">
        <v>18</v>
      </c>
      <c r="I63" s="115" t="s">
        <v>116</v>
      </c>
      <c r="J63" s="115" t="s">
        <v>117</v>
      </c>
      <c r="K63" s="115" t="s">
        <v>117</v>
      </c>
      <c r="L63" s="115" t="s">
        <v>116</v>
      </c>
      <c r="M63" s="115" t="s">
        <v>117</v>
      </c>
      <c r="N63" s="115" t="s">
        <v>371</v>
      </c>
      <c r="O63" s="106" t="s">
        <v>372</v>
      </c>
      <c r="P63" s="292" t="s">
        <v>286</v>
      </c>
      <c r="Q63" s="303" t="s">
        <v>373</v>
      </c>
      <c r="R63" s="295" t="s">
        <v>374</v>
      </c>
      <c r="S63" s="226"/>
    </row>
    <row r="64" spans="1:19" s="120" customFormat="1" ht="13.5">
      <c r="A64" s="126" t="s">
        <v>375</v>
      </c>
      <c r="B64" s="127" t="s">
        <v>369</v>
      </c>
      <c r="C64" s="128">
        <v>650</v>
      </c>
      <c r="D64" s="128">
        <v>0.48</v>
      </c>
      <c r="E64" s="128" t="s">
        <v>370</v>
      </c>
      <c r="F64" s="128" t="s">
        <v>370</v>
      </c>
      <c r="G64" s="128">
        <v>100</v>
      </c>
      <c r="H64" s="128">
        <v>18</v>
      </c>
      <c r="I64" s="128" t="s">
        <v>116</v>
      </c>
      <c r="J64" s="128" t="s">
        <v>117</v>
      </c>
      <c r="K64" s="128" t="s">
        <v>117</v>
      </c>
      <c r="L64" s="128" t="s">
        <v>116</v>
      </c>
      <c r="M64" s="128" t="s">
        <v>117</v>
      </c>
      <c r="N64" s="128" t="s">
        <v>371</v>
      </c>
      <c r="O64" s="136" t="s">
        <v>372</v>
      </c>
      <c r="P64" s="301"/>
      <c r="Q64" s="304"/>
      <c r="R64" s="299"/>
      <c r="S64" s="226"/>
    </row>
    <row r="65" spans="1:18" s="120" customFormat="1" ht="12.75">
      <c r="A65" s="130" t="s">
        <v>376</v>
      </c>
      <c r="B65" s="131" t="s">
        <v>377</v>
      </c>
      <c r="C65" s="132">
        <v>650</v>
      </c>
      <c r="D65" s="132">
        <v>0.3</v>
      </c>
      <c r="E65" s="132" t="s">
        <v>378</v>
      </c>
      <c r="F65" s="132" t="s">
        <v>378</v>
      </c>
      <c r="G65" s="132">
        <v>100</v>
      </c>
      <c r="H65" s="132">
        <v>38</v>
      </c>
      <c r="I65" s="132" t="s">
        <v>116</v>
      </c>
      <c r="J65" s="132" t="s">
        <v>337</v>
      </c>
      <c r="K65" s="132" t="s">
        <v>337</v>
      </c>
      <c r="L65" s="132" t="s">
        <v>116</v>
      </c>
      <c r="M65" s="132" t="s">
        <v>117</v>
      </c>
      <c r="N65" s="132" t="s">
        <v>371</v>
      </c>
      <c r="O65" s="107" t="s">
        <v>379</v>
      </c>
      <c r="P65" s="293"/>
      <c r="Q65" s="305"/>
      <c r="R65" s="296"/>
    </row>
    <row r="66" spans="1:18" s="183" customFormat="1" ht="12.75">
      <c r="A66" s="184" t="s">
        <v>380</v>
      </c>
      <c r="B66" s="185"/>
      <c r="C66" s="186">
        <v>700</v>
      </c>
      <c r="D66" s="186">
        <v>0.3</v>
      </c>
      <c r="E66" s="186" t="s">
        <v>135</v>
      </c>
      <c r="F66" s="186" t="s">
        <v>381</v>
      </c>
      <c r="G66" s="186">
        <v>134</v>
      </c>
      <c r="H66" s="186">
        <v>32</v>
      </c>
      <c r="I66" s="186" t="s">
        <v>116</v>
      </c>
      <c r="J66" s="186" t="s">
        <v>117</v>
      </c>
      <c r="K66" s="186" t="s">
        <v>117</v>
      </c>
      <c r="L66" s="186" t="s">
        <v>116</v>
      </c>
      <c r="M66" s="186" t="s">
        <v>119</v>
      </c>
      <c r="N66" s="186" t="s">
        <v>382</v>
      </c>
      <c r="O66" s="202" t="s">
        <v>136</v>
      </c>
      <c r="P66" s="292" t="s">
        <v>286</v>
      </c>
      <c r="Q66" s="211"/>
      <c r="R66" s="295" t="s">
        <v>374</v>
      </c>
    </row>
    <row r="67" spans="1:18" s="183" customFormat="1" ht="13.5" customHeight="1">
      <c r="A67" s="204" t="s">
        <v>383</v>
      </c>
      <c r="B67" s="205"/>
      <c r="C67" s="206">
        <v>700</v>
      </c>
      <c r="D67" s="206">
        <v>0.3</v>
      </c>
      <c r="E67" s="206" t="s">
        <v>135</v>
      </c>
      <c r="F67" s="206" t="s">
        <v>381</v>
      </c>
      <c r="G67" s="206">
        <v>134</v>
      </c>
      <c r="H67" s="206">
        <v>32</v>
      </c>
      <c r="I67" s="206" t="s">
        <v>308</v>
      </c>
      <c r="J67" s="206" t="s">
        <v>117</v>
      </c>
      <c r="K67" s="206" t="s">
        <v>117</v>
      </c>
      <c r="L67" s="206" t="s">
        <v>308</v>
      </c>
      <c r="M67" s="206" t="s">
        <v>359</v>
      </c>
      <c r="N67" s="206" t="s">
        <v>382</v>
      </c>
      <c r="O67" s="208" t="s">
        <v>136</v>
      </c>
      <c r="P67" s="293"/>
      <c r="Q67" s="213"/>
      <c r="R67" s="296"/>
    </row>
    <row r="68" spans="1:18" s="183" customFormat="1" ht="13.5" customHeight="1">
      <c r="A68" s="177" t="s">
        <v>369</v>
      </c>
      <c r="B68" s="210"/>
      <c r="C68" s="178">
        <v>650</v>
      </c>
      <c r="D68" s="178">
        <v>0.48</v>
      </c>
      <c r="E68" s="178" t="s">
        <v>134</v>
      </c>
      <c r="F68" s="178" t="s">
        <v>134</v>
      </c>
      <c r="G68" s="178">
        <v>70</v>
      </c>
      <c r="H68" s="178">
        <v>19</v>
      </c>
      <c r="I68" s="178" t="s">
        <v>308</v>
      </c>
      <c r="J68" s="178" t="s">
        <v>337</v>
      </c>
      <c r="K68" s="178" t="s">
        <v>308</v>
      </c>
      <c r="L68" s="178" t="s">
        <v>308</v>
      </c>
      <c r="M68" s="178" t="s">
        <v>359</v>
      </c>
      <c r="N68" s="178" t="s">
        <v>284</v>
      </c>
      <c r="O68" s="181" t="s">
        <v>384</v>
      </c>
      <c r="P68" s="290" t="s">
        <v>385</v>
      </c>
      <c r="Q68" s="214"/>
      <c r="R68" s="288" t="s">
        <v>386</v>
      </c>
    </row>
    <row r="69" spans="1:18" s="194" customFormat="1" ht="13.5" customHeight="1">
      <c r="A69" s="218" t="s">
        <v>387</v>
      </c>
      <c r="B69" s="219"/>
      <c r="C69" s="220">
        <v>650</v>
      </c>
      <c r="D69" s="220">
        <v>1.2</v>
      </c>
      <c r="E69" s="220">
        <v>15</v>
      </c>
      <c r="F69" s="220">
        <v>17</v>
      </c>
      <c r="G69" s="220">
        <v>50</v>
      </c>
      <c r="H69" s="220">
        <v>10</v>
      </c>
      <c r="I69" s="220" t="s">
        <v>116</v>
      </c>
      <c r="J69" s="220" t="s">
        <v>308</v>
      </c>
      <c r="K69" s="220" t="s">
        <v>116</v>
      </c>
      <c r="L69" s="220" t="s">
        <v>116</v>
      </c>
      <c r="M69" s="220" t="s">
        <v>119</v>
      </c>
      <c r="N69" s="220" t="s">
        <v>284</v>
      </c>
      <c r="O69" s="223"/>
      <c r="P69" s="291"/>
      <c r="Q69" s="224"/>
      <c r="R69" s="289"/>
    </row>
    <row r="70" spans="1:18" s="194" customFormat="1" ht="12.75">
      <c r="A70" s="229" t="s">
        <v>388</v>
      </c>
      <c r="B70" s="230"/>
      <c r="C70" s="231">
        <v>700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 t="s">
        <v>389</v>
      </c>
      <c r="O70" s="232"/>
      <c r="P70" s="231" t="s">
        <v>390</v>
      </c>
      <c r="Q70" s="233"/>
      <c r="R70" s="234" t="s">
        <v>374</v>
      </c>
    </row>
    <row r="71" spans="1:18" s="194" customFormat="1" ht="12.75">
      <c r="A71" s="190" t="s">
        <v>391</v>
      </c>
      <c r="B71" s="169"/>
      <c r="C71" s="191">
        <v>650</v>
      </c>
      <c r="D71" s="192">
        <v>1.2</v>
      </c>
      <c r="E71" s="191">
        <v>15</v>
      </c>
      <c r="F71" s="191">
        <v>17</v>
      </c>
      <c r="G71" s="191">
        <v>50</v>
      </c>
      <c r="H71" s="192">
        <v>10</v>
      </c>
      <c r="I71" s="191" t="s">
        <v>308</v>
      </c>
      <c r="J71" s="191" t="s">
        <v>116</v>
      </c>
      <c r="K71" s="191" t="s">
        <v>308</v>
      </c>
      <c r="L71" s="191" t="s">
        <v>308</v>
      </c>
      <c r="M71" s="191" t="s">
        <v>359</v>
      </c>
      <c r="N71" s="191" t="s">
        <v>392</v>
      </c>
      <c r="O71" s="235"/>
      <c r="P71" s="302" t="s">
        <v>393</v>
      </c>
      <c r="Q71" s="236"/>
      <c r="R71" s="228"/>
    </row>
    <row r="72" spans="1:18" s="194" customFormat="1" ht="13.5" customHeight="1">
      <c r="A72" s="190" t="s">
        <v>320</v>
      </c>
      <c r="B72" s="169"/>
      <c r="C72" s="191">
        <v>650</v>
      </c>
      <c r="D72" s="191">
        <v>1.5</v>
      </c>
      <c r="E72" s="191">
        <v>20</v>
      </c>
      <c r="F72" s="191">
        <v>23</v>
      </c>
      <c r="G72" s="191" t="s">
        <v>255</v>
      </c>
      <c r="H72" s="192">
        <v>6</v>
      </c>
      <c r="I72" s="191" t="s">
        <v>308</v>
      </c>
      <c r="J72" s="191" t="s">
        <v>116</v>
      </c>
      <c r="K72" s="191" t="s">
        <v>308</v>
      </c>
      <c r="L72" s="191" t="s">
        <v>308</v>
      </c>
      <c r="M72" s="191" t="s">
        <v>359</v>
      </c>
      <c r="N72" s="191" t="s">
        <v>284</v>
      </c>
      <c r="O72" s="235"/>
      <c r="P72" s="290"/>
      <c r="Q72" s="236"/>
      <c r="R72" s="228"/>
    </row>
    <row r="73" spans="1:18" s="194" customFormat="1" ht="13.5" customHeight="1">
      <c r="A73" s="218" t="s">
        <v>323</v>
      </c>
      <c r="B73" s="219"/>
      <c r="C73" s="220">
        <v>650</v>
      </c>
      <c r="D73" s="220">
        <v>2.15</v>
      </c>
      <c r="E73" s="220">
        <v>25</v>
      </c>
      <c r="F73" s="220">
        <v>30</v>
      </c>
      <c r="G73" s="220" t="s">
        <v>250</v>
      </c>
      <c r="H73" s="220">
        <v>4.5</v>
      </c>
      <c r="I73" s="220" t="s">
        <v>308</v>
      </c>
      <c r="J73" s="220" t="s">
        <v>308</v>
      </c>
      <c r="K73" s="220" t="s">
        <v>308</v>
      </c>
      <c r="L73" s="220" t="s">
        <v>308</v>
      </c>
      <c r="M73" s="220" t="s">
        <v>359</v>
      </c>
      <c r="N73" s="220" t="s">
        <v>284</v>
      </c>
      <c r="O73" s="223"/>
      <c r="P73" s="291"/>
      <c r="Q73" s="224"/>
      <c r="R73" s="225"/>
    </row>
    <row r="74" spans="1:18" s="194" customFormat="1" ht="12.75">
      <c r="A74" s="237" t="s">
        <v>298</v>
      </c>
      <c r="B74" s="171"/>
      <c r="C74" s="227">
        <v>650</v>
      </c>
      <c r="D74" s="238">
        <v>2.3</v>
      </c>
      <c r="E74" s="227">
        <v>60</v>
      </c>
      <c r="F74" s="227">
        <v>70</v>
      </c>
      <c r="G74" s="227">
        <v>66</v>
      </c>
      <c r="H74" s="227">
        <v>2.2</v>
      </c>
      <c r="I74" s="227" t="s">
        <v>116</v>
      </c>
      <c r="J74" s="227" t="s">
        <v>116</v>
      </c>
      <c r="K74" s="227" t="s">
        <v>116</v>
      </c>
      <c r="L74" s="227" t="s">
        <v>118</v>
      </c>
      <c r="M74" s="227" t="s">
        <v>119</v>
      </c>
      <c r="N74" s="227" t="s">
        <v>394</v>
      </c>
      <c r="O74" s="239"/>
      <c r="P74" s="302" t="s">
        <v>349</v>
      </c>
      <c r="Q74" s="240"/>
      <c r="R74" s="294"/>
    </row>
    <row r="75" spans="1:18" s="183" customFormat="1" ht="13.5" customHeight="1">
      <c r="A75" s="177" t="s">
        <v>348</v>
      </c>
      <c r="B75" s="210"/>
      <c r="C75" s="178">
        <v>650</v>
      </c>
      <c r="D75" s="180">
        <v>2.5</v>
      </c>
      <c r="E75" s="178">
        <v>75</v>
      </c>
      <c r="F75" s="178">
        <v>85</v>
      </c>
      <c r="G75" s="178">
        <v>66</v>
      </c>
      <c r="H75" s="178">
        <v>1.6</v>
      </c>
      <c r="I75" s="178" t="s">
        <v>308</v>
      </c>
      <c r="J75" s="178" t="s">
        <v>308</v>
      </c>
      <c r="K75" s="178" t="s">
        <v>308</v>
      </c>
      <c r="L75" s="178" t="s">
        <v>336</v>
      </c>
      <c r="M75" s="178" t="s">
        <v>359</v>
      </c>
      <c r="N75" s="178" t="s">
        <v>394</v>
      </c>
      <c r="O75" s="181"/>
      <c r="P75" s="290"/>
      <c r="Q75" s="214"/>
      <c r="R75" s="288"/>
    </row>
    <row r="76" spans="1:18" s="194" customFormat="1" ht="13.5" customHeight="1">
      <c r="A76" s="237" t="s">
        <v>342</v>
      </c>
      <c r="B76" s="171"/>
      <c r="C76" s="227">
        <v>650</v>
      </c>
      <c r="D76" s="238"/>
      <c r="E76" s="227"/>
      <c r="F76" s="227"/>
      <c r="G76" s="227"/>
      <c r="H76" s="227"/>
      <c r="I76" s="227"/>
      <c r="J76" s="227"/>
      <c r="K76" s="227"/>
      <c r="L76" s="227"/>
      <c r="M76" s="227"/>
      <c r="N76" s="227" t="s">
        <v>338</v>
      </c>
      <c r="O76" s="239"/>
      <c r="P76" s="302" t="s">
        <v>395</v>
      </c>
      <c r="Q76" s="240"/>
      <c r="R76" s="241"/>
    </row>
    <row r="77" spans="1:18" s="194" customFormat="1" ht="13.5" customHeight="1">
      <c r="A77" s="190" t="s">
        <v>396</v>
      </c>
      <c r="B77" s="169"/>
      <c r="C77" s="191">
        <v>650</v>
      </c>
      <c r="D77" s="192"/>
      <c r="E77" s="191"/>
      <c r="F77" s="191"/>
      <c r="G77" s="191"/>
      <c r="H77" s="191"/>
      <c r="I77" s="191"/>
      <c r="J77" s="191"/>
      <c r="K77" s="191"/>
      <c r="L77" s="191"/>
      <c r="M77" s="191"/>
      <c r="N77" s="191" t="s">
        <v>338</v>
      </c>
      <c r="O77" s="235"/>
      <c r="P77" s="290"/>
      <c r="Q77" s="236"/>
      <c r="R77" s="228"/>
    </row>
    <row r="78" spans="1:18" s="194" customFormat="1" ht="13.5" customHeight="1">
      <c r="A78" s="190" t="s">
        <v>397</v>
      </c>
      <c r="B78" s="169"/>
      <c r="C78" s="191">
        <v>650</v>
      </c>
      <c r="D78" s="192"/>
      <c r="E78" s="191"/>
      <c r="F78" s="191"/>
      <c r="G78" s="191"/>
      <c r="H78" s="191"/>
      <c r="I78" s="191"/>
      <c r="J78" s="191"/>
      <c r="K78" s="191"/>
      <c r="L78" s="191"/>
      <c r="M78" s="191"/>
      <c r="N78" s="191" t="s">
        <v>398</v>
      </c>
      <c r="O78" s="235"/>
      <c r="P78" s="290"/>
      <c r="Q78" s="236"/>
      <c r="R78" s="228"/>
    </row>
    <row r="79" spans="1:18" s="194" customFormat="1" ht="13.5" customHeight="1">
      <c r="A79" s="218" t="s">
        <v>399</v>
      </c>
      <c r="B79" s="219"/>
      <c r="C79" s="220">
        <v>650</v>
      </c>
      <c r="D79" s="221"/>
      <c r="E79" s="220"/>
      <c r="F79" s="220"/>
      <c r="G79" s="220"/>
      <c r="H79" s="220"/>
      <c r="I79" s="220"/>
      <c r="J79" s="220"/>
      <c r="K79" s="220"/>
      <c r="L79" s="220"/>
      <c r="M79" s="220"/>
      <c r="N79" s="220" t="s">
        <v>398</v>
      </c>
      <c r="O79" s="223"/>
      <c r="P79" s="291"/>
      <c r="Q79" s="224"/>
      <c r="R79" s="225"/>
    </row>
    <row r="80" spans="1:16" s="209" customFormat="1" ht="12.75">
      <c r="A80" s="242"/>
      <c r="B80" s="243"/>
      <c r="C80" s="244"/>
      <c r="D80" s="245"/>
      <c r="E80" s="244"/>
      <c r="F80" s="244"/>
      <c r="G80" s="244"/>
      <c r="H80" s="244"/>
      <c r="I80" s="246" t="s">
        <v>400</v>
      </c>
      <c r="J80" s="244"/>
      <c r="K80" s="244"/>
      <c r="L80" s="244"/>
      <c r="M80" s="244"/>
      <c r="N80" s="244"/>
      <c r="O80" s="247"/>
      <c r="P80" s="247"/>
    </row>
    <row r="81" spans="1:16" s="104" customFormat="1" ht="12.75">
      <c r="A81" s="248" t="s">
        <v>137</v>
      </c>
      <c r="B81" s="249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47"/>
      <c r="O81" s="247"/>
      <c r="P81" s="250"/>
    </row>
    <row r="82" spans="1:15" s="183" customFormat="1" ht="12.75">
      <c r="A82" s="251" t="s">
        <v>401</v>
      </c>
      <c r="B82" s="252"/>
      <c r="C82" s="253"/>
      <c r="D82" s="253"/>
      <c r="E82" s="253"/>
      <c r="F82" s="253"/>
      <c r="G82" s="253"/>
      <c r="H82" s="253"/>
      <c r="N82" s="254"/>
      <c r="O82" s="254"/>
    </row>
    <row r="83" spans="1:15" s="183" customFormat="1" ht="12.75">
      <c r="A83" s="255" t="s">
        <v>402</v>
      </c>
      <c r="B83" s="256" t="s">
        <v>403</v>
      </c>
      <c r="C83" s="257"/>
      <c r="D83" s="257"/>
      <c r="E83" s="257"/>
      <c r="F83" s="257"/>
      <c r="G83" s="257"/>
      <c r="H83" s="257"/>
      <c r="N83" s="254"/>
      <c r="O83" s="254"/>
    </row>
    <row r="84" spans="1:15" s="183" customFormat="1" ht="12.75">
      <c r="A84" s="258" t="s">
        <v>404</v>
      </c>
      <c r="B84" s="259" t="s">
        <v>405</v>
      </c>
      <c r="C84" s="260"/>
      <c r="D84" s="260"/>
      <c r="E84" s="260"/>
      <c r="F84" s="260"/>
      <c r="G84" s="260"/>
      <c r="H84" s="260"/>
      <c r="N84" s="254"/>
      <c r="O84" s="254"/>
    </row>
    <row r="85" spans="1:15" s="112" customFormat="1" ht="14.25">
      <c r="A85" s="261" t="s">
        <v>406</v>
      </c>
      <c r="B85" s="262"/>
      <c r="N85" s="263"/>
      <c r="O85" s="263"/>
    </row>
    <row r="86" spans="1:15" s="112" customFormat="1" ht="14.25">
      <c r="A86" s="264" t="s">
        <v>407</v>
      </c>
      <c r="B86" s="265"/>
      <c r="N86" s="263"/>
      <c r="O86" s="263"/>
    </row>
    <row r="87" spans="1:15" s="112" customFormat="1" ht="14.25">
      <c r="A87" s="266"/>
      <c r="B87" s="265"/>
      <c r="N87" s="263"/>
      <c r="O87" s="263"/>
    </row>
    <row r="88" spans="1:15" s="112" customFormat="1" ht="14.25">
      <c r="A88" s="266"/>
      <c r="B88" s="265"/>
      <c r="N88" s="263"/>
      <c r="O88" s="263"/>
    </row>
    <row r="89" spans="1:15" s="112" customFormat="1" ht="14.25">
      <c r="A89" s="266"/>
      <c r="B89" s="265"/>
      <c r="N89" s="263"/>
      <c r="O89" s="263"/>
    </row>
    <row r="90" spans="1:15" s="112" customFormat="1" ht="14.25">
      <c r="A90" s="266"/>
      <c r="B90" s="265"/>
      <c r="N90" s="263"/>
      <c r="O90" s="263"/>
    </row>
    <row r="91" spans="1:15" s="112" customFormat="1" ht="14.25">
      <c r="A91" s="266"/>
      <c r="B91" s="265"/>
      <c r="N91" s="263"/>
      <c r="O91" s="263"/>
    </row>
    <row r="92" spans="1:15" s="112" customFormat="1" ht="14.25">
      <c r="A92" s="266"/>
      <c r="B92" s="265"/>
      <c r="N92" s="263"/>
      <c r="O92" s="263"/>
    </row>
    <row r="93" spans="1:15" s="112" customFormat="1" ht="14.25">
      <c r="A93" s="266"/>
      <c r="B93" s="265"/>
      <c r="N93" s="263"/>
      <c r="O93" s="263"/>
    </row>
    <row r="94" spans="1:15" s="112" customFormat="1" ht="14.25">
      <c r="A94" s="266"/>
      <c r="B94" s="265"/>
      <c r="N94" s="263"/>
      <c r="O94" s="263"/>
    </row>
    <row r="95" spans="1:15" s="112" customFormat="1" ht="14.25">
      <c r="A95" s="266"/>
      <c r="B95" s="265"/>
      <c r="N95" s="263"/>
      <c r="O95" s="263"/>
    </row>
    <row r="96" spans="1:15" s="112" customFormat="1" ht="14.25">
      <c r="A96" s="266"/>
      <c r="B96" s="265"/>
      <c r="N96" s="263"/>
      <c r="O96" s="263"/>
    </row>
  </sheetData>
  <sheetProtection/>
  <mergeCells count="80"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P30:P32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Виктор</cp:lastModifiedBy>
  <cp:lastPrinted>2003-08-29T09:30:41Z</cp:lastPrinted>
  <dcterms:created xsi:type="dcterms:W3CDTF">1997-01-10T04:21:27Z</dcterms:created>
  <dcterms:modified xsi:type="dcterms:W3CDTF">2008-04-24T12:35:16Z</dcterms:modified>
  <cp:category/>
  <cp:version/>
  <cp:contentType/>
  <cp:contentStatus/>
</cp:coreProperties>
</file>